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rcastrading-my.sharepoint.com/personal/arcas_arcas_nl/Documents/3 Arcas/Relaties/Fabrikanten/ESZ/Rekenprogramma/"/>
    </mc:Choice>
  </mc:AlternateContent>
  <xr:revisionPtr revIDLastSave="7" documentId="11_EA8CAD0B916A3D91767764CA7192787794C1A80D" xr6:coauthVersionLast="47" xr6:coauthVersionMax="47" xr10:uidLastSave="{7939EBD8-7A60-4F6B-AD15-482D1885CE30}"/>
  <bookViews>
    <workbookView xWindow="1140" yWindow="660" windowWidth="24780" windowHeight="13620" xr2:uid="{00000000-000D-0000-FFFF-FFFF00000000}"/>
  </bookViews>
  <sheets>
    <sheet name="rechthoek" sheetId="1" r:id="rId1"/>
    <sheet name="cirkel" sheetId="2" r:id="rId2"/>
  </sheets>
  <definedNames>
    <definedName name="_xlnm.Print_Area" localSheetId="1">cirkel!$A$1:$H$87</definedName>
    <definedName name="_xlnm.Print_Area" localSheetId="0">rechthoek!$A$1:$H$87</definedName>
    <definedName name="_xlnm.Print_Titles" localSheetId="1">cirkel!$1:$3</definedName>
    <definedName name="_xlnm.Print_Titles" localSheetId="0">rechthoek!$1:$3</definedName>
    <definedName name="psi_1" localSheetId="1">cirkel!$E$11</definedName>
    <definedName name="psi_1">rechthoek!$E$11</definedName>
    <definedName name="psi_2" localSheetId="1">cirkel!$E$12</definedName>
    <definedName name="psi_2">rechthoek!$E$12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1" i="2"/>
  <c r="H2" i="1"/>
  <c r="H2" i="2" s="1"/>
  <c r="H3" i="2"/>
  <c r="F3" i="2"/>
  <c r="M7" i="2"/>
  <c r="M6" i="2" s="1"/>
  <c r="J30" i="2" s="1"/>
  <c r="J34" i="2" s="1"/>
  <c r="B13" i="2"/>
  <c r="B14" i="2" s="1"/>
  <c r="D86" i="2"/>
  <c r="D85" i="2"/>
  <c r="D83" i="2"/>
  <c r="D82" i="2"/>
  <c r="E10" i="2"/>
  <c r="E9" i="2"/>
  <c r="J4" i="2"/>
  <c r="Q68" i="2" s="1"/>
  <c r="J2" i="2"/>
  <c r="M68" i="2" s="1"/>
  <c r="M7" i="1"/>
  <c r="M5" i="1" s="1"/>
  <c r="J29" i="1" s="1"/>
  <c r="B13" i="1"/>
  <c r="D5" i="1" s="1"/>
  <c r="F3" i="1"/>
  <c r="D86" i="1"/>
  <c r="D85" i="1"/>
  <c r="D83" i="1"/>
  <c r="D82" i="1"/>
  <c r="J5" i="2" l="1"/>
  <c r="M69" i="2"/>
  <c r="C80" i="2" s="1"/>
  <c r="C79" i="2"/>
  <c r="K11" i="2"/>
  <c r="K12" i="2" s="1"/>
  <c r="D6" i="2"/>
  <c r="D5" i="2"/>
  <c r="P71" i="2"/>
  <c r="F82" i="2" s="1"/>
  <c r="P72" i="2"/>
  <c r="F83" i="2" s="1"/>
  <c r="P73" i="2"/>
  <c r="F85" i="2" s="1"/>
  <c r="P74" i="2"/>
  <c r="F86" i="2" s="1"/>
  <c r="M5" i="2"/>
  <c r="J29" i="2" s="1"/>
  <c r="J32" i="2" s="1"/>
  <c r="M6" i="1"/>
  <c r="J30" i="1" s="1"/>
  <c r="B14" i="1"/>
  <c r="D6" i="1"/>
  <c r="H5" i="1" s="1"/>
  <c r="H5" i="2" l="1"/>
  <c r="O69" i="2"/>
  <c r="E80" i="2" s="1"/>
  <c r="M3" i="2"/>
  <c r="L12" i="2" s="1"/>
  <c r="M70" i="2"/>
  <c r="O70" i="2" s="1"/>
  <c r="E8" i="2"/>
  <c r="K15" i="2"/>
  <c r="K16" i="2" s="1"/>
  <c r="M4" i="2"/>
  <c r="J32" i="1"/>
  <c r="J34" i="1"/>
  <c r="E10" i="1"/>
  <c r="E11" i="2" l="1"/>
  <c r="M2" i="2"/>
  <c r="K30" i="2" s="1"/>
  <c r="E81" i="2"/>
  <c r="E79" i="2" s="1"/>
  <c r="O68" i="2"/>
  <c r="C81" i="2"/>
  <c r="L16" i="2"/>
  <c r="E12" i="2"/>
  <c r="S73" i="2"/>
  <c r="S71" i="2"/>
  <c r="E9" i="1"/>
  <c r="J4" i="1"/>
  <c r="Q68" i="1" s="1"/>
  <c r="J3" i="1"/>
  <c r="J2" i="1"/>
  <c r="K29" i="2" l="1"/>
  <c r="K32" i="2" s="1"/>
  <c r="K33" i="2" s="1"/>
  <c r="L28" i="2"/>
  <c r="M28" i="2" s="1"/>
  <c r="K28" i="2"/>
  <c r="N28" i="2" s="1"/>
  <c r="K26" i="2"/>
  <c r="N26" i="2" s="1"/>
  <c r="O29" i="2"/>
  <c r="K25" i="2"/>
  <c r="N25" i="2" s="1"/>
  <c r="L30" i="2"/>
  <c r="M30" i="2" s="1"/>
  <c r="M34" i="2" s="1"/>
  <c r="M35" i="2" s="1"/>
  <c r="L27" i="2"/>
  <c r="M27" i="2" s="1"/>
  <c r="K27" i="2"/>
  <c r="N27" i="2" s="1"/>
  <c r="L25" i="2"/>
  <c r="M25" i="2" s="1"/>
  <c r="L29" i="2"/>
  <c r="M29" i="2" s="1"/>
  <c r="F5" i="2" s="1"/>
  <c r="O30" i="2"/>
  <c r="L26" i="2"/>
  <c r="M26" i="2" s="1"/>
  <c r="F13" i="2"/>
  <c r="S72" i="2"/>
  <c r="G82" i="2"/>
  <c r="S74" i="2"/>
  <c r="G85" i="2"/>
  <c r="K34" i="2"/>
  <c r="K35" i="2" s="1"/>
  <c r="N30" i="2"/>
  <c r="P74" i="1"/>
  <c r="F86" i="1" s="1"/>
  <c r="P73" i="1"/>
  <c r="F85" i="1" s="1"/>
  <c r="M68" i="1"/>
  <c r="P71" i="1"/>
  <c r="F82" i="1" s="1"/>
  <c r="P72" i="1"/>
  <c r="F83" i="1" s="1"/>
  <c r="J8" i="1"/>
  <c r="J5" i="1"/>
  <c r="M4" i="1" s="1"/>
  <c r="N29" i="2" l="1"/>
  <c r="N32" i="2" s="1"/>
  <c r="N33" i="2" s="1"/>
  <c r="L57" i="2"/>
  <c r="L32" i="2"/>
  <c r="L33" i="2" s="1"/>
  <c r="L34" i="2"/>
  <c r="L35" i="2" s="1"/>
  <c r="J82" i="2"/>
  <c r="U72" i="2"/>
  <c r="H82" i="2" s="1"/>
  <c r="J85" i="2"/>
  <c r="U74" i="2"/>
  <c r="H85" i="2" s="1"/>
  <c r="M32" i="2"/>
  <c r="M33" i="2" s="1"/>
  <c r="F6" i="2"/>
  <c r="N34" i="2"/>
  <c r="N35" i="2" s="1"/>
  <c r="M3" i="1"/>
  <c r="M2" i="1" s="1"/>
  <c r="K11" i="1"/>
  <c r="K12" i="1" s="1"/>
  <c r="K15" i="1"/>
  <c r="K16" i="1" s="1"/>
  <c r="M69" i="1"/>
  <c r="C79" i="1"/>
  <c r="E8" i="1"/>
  <c r="O29" i="1" l="1"/>
  <c r="L29" i="1"/>
  <c r="F13" i="1"/>
  <c r="O30" i="1"/>
  <c r="L16" i="1"/>
  <c r="E12" i="1"/>
  <c r="L12" i="1"/>
  <c r="E11" i="1"/>
  <c r="O69" i="1"/>
  <c r="E80" i="1" s="1"/>
  <c r="C80" i="1"/>
  <c r="M70" i="1"/>
  <c r="O70" i="1" l="1"/>
  <c r="C81" i="1"/>
  <c r="S71" i="1" l="1"/>
  <c r="E81" i="1"/>
  <c r="E79" i="1" s="1"/>
  <c r="S73" i="1"/>
  <c r="O68" i="1"/>
  <c r="S72" i="1" l="1"/>
  <c r="G82" i="1"/>
  <c r="S74" i="1"/>
  <c r="G85" i="1"/>
  <c r="U72" i="1" l="1"/>
  <c r="H82" i="1" s="1"/>
  <c r="J82" i="1"/>
  <c r="U74" i="1"/>
  <c r="H85" i="1" s="1"/>
  <c r="J85" i="1"/>
  <c r="L27" i="1" l="1"/>
  <c r="M27" i="1" s="1"/>
  <c r="L26" i="1"/>
  <c r="M26" i="1" s="1"/>
  <c r="K25" i="1"/>
  <c r="N25" i="1" s="1"/>
  <c r="K28" i="1"/>
  <c r="N28" i="1" s="1"/>
  <c r="K27" i="1"/>
  <c r="N27" i="1" s="1"/>
  <c r="K26" i="1"/>
  <c r="N26" i="1" s="1"/>
  <c r="L25" i="1"/>
  <c r="M25" i="1" s="1"/>
  <c r="L28" i="1"/>
  <c r="M28" i="1" s="1"/>
  <c r="K29" i="1"/>
  <c r="L30" i="1"/>
  <c r="K30" i="1"/>
  <c r="L57" i="1" l="1"/>
  <c r="M30" i="1"/>
  <c r="M34" i="1" s="1"/>
  <c r="M35" i="1" s="1"/>
  <c r="L34" i="1"/>
  <c r="L35" i="1" s="1"/>
  <c r="N30" i="1"/>
  <c r="K34" i="1"/>
  <c r="K35" i="1" s="1"/>
  <c r="M29" i="1"/>
  <c r="L32" i="1"/>
  <c r="L33" i="1" s="1"/>
  <c r="N29" i="1"/>
  <c r="N32" i="1" s="1"/>
  <c r="N33" i="1" s="1"/>
  <c r="K32" i="1"/>
  <c r="K33" i="1" s="1"/>
  <c r="F6" i="1" l="1"/>
  <c r="N34" i="1"/>
  <c r="N35" i="1" s="1"/>
  <c r="F5" i="1"/>
  <c r="M32" i="1"/>
  <c r="M33" i="1" s="1"/>
</calcChain>
</file>

<file path=xl/sharedStrings.xml><?xml version="1.0" encoding="utf-8"?>
<sst xmlns="http://schemas.openxmlformats.org/spreadsheetml/2006/main" count="253" uniqueCount="98">
  <si>
    <t>mm</t>
  </si>
  <si>
    <t>Kennwerte:</t>
  </si>
  <si>
    <t>S</t>
  </si>
  <si>
    <t>Esup</t>
  </si>
  <si>
    <t>Einf</t>
  </si>
  <si>
    <t>S:</t>
  </si>
  <si>
    <t>Formfaktor</t>
  </si>
  <si>
    <t>N/mm²</t>
  </si>
  <si>
    <t>a</t>
  </si>
  <si>
    <t>b</t>
  </si>
  <si>
    <t>t</t>
  </si>
  <si>
    <t>a/b</t>
  </si>
  <si>
    <t>kN</t>
  </si>
  <si>
    <r>
      <rPr>
        <sz val="11"/>
        <color theme="1"/>
        <rFont val="Symbol"/>
        <family val="1"/>
        <charset val="2"/>
      </rPr>
      <t>j</t>
    </r>
    <r>
      <rPr>
        <sz val="11"/>
        <color theme="1"/>
        <rFont val="Century Gothic"/>
        <family val="2"/>
      </rPr>
      <t>1:</t>
    </r>
  </si>
  <si>
    <r>
      <rPr>
        <sz val="11"/>
        <color theme="1"/>
        <rFont val="Symbol"/>
        <family val="1"/>
        <charset val="2"/>
      </rPr>
      <t>j</t>
    </r>
    <r>
      <rPr>
        <sz val="11"/>
        <color theme="1"/>
        <rFont val="Century Gothic"/>
        <family val="2"/>
      </rPr>
      <t>2:</t>
    </r>
  </si>
  <si>
    <t>Auswertung</t>
  </si>
  <si>
    <t>mm²</t>
  </si>
  <si>
    <t>uzmin [mm]</t>
  </si>
  <si>
    <t>uzmax[mm]</t>
  </si>
  <si>
    <t>F min</t>
  </si>
  <si>
    <t>F max</t>
  </si>
  <si>
    <t>edsup</t>
  </si>
  <si>
    <t>edinf</t>
  </si>
  <si>
    <t>u z,rd,sup</t>
  </si>
  <si>
    <t>u z,rd,inf</t>
  </si>
  <si>
    <t>A</t>
  </si>
  <si>
    <t>A1</t>
  </si>
  <si>
    <t>A2</t>
  </si>
  <si>
    <t>Uwert/ Wärmeleitfähigkeit</t>
  </si>
  <si>
    <t>Stahl</t>
  </si>
  <si>
    <t>Sepatherm</t>
  </si>
  <si>
    <t>W/m/k</t>
  </si>
  <si>
    <t>R2</t>
  </si>
  <si>
    <t>R1</t>
  </si>
  <si>
    <t>t=</t>
  </si>
  <si>
    <t>Flächenanteil</t>
  </si>
  <si>
    <t>m²K/W</t>
  </si>
  <si>
    <t>1/Rges=</t>
  </si>
  <si>
    <t>Rges</t>
  </si>
  <si>
    <t>Edelstahl</t>
  </si>
  <si>
    <r>
      <rPr>
        <sz val="11"/>
        <rFont val="Symbol"/>
        <family val="1"/>
        <charset val="2"/>
      </rPr>
      <t>l</t>
    </r>
    <r>
      <rPr>
        <sz val="11"/>
        <rFont val="Century Gothic"/>
        <family val="2"/>
      </rPr>
      <t>1</t>
    </r>
    <r>
      <rPr>
        <sz val="8"/>
        <rFont val="Century Gothic"/>
        <family val="2"/>
      </rPr>
      <t>[W/m/K]</t>
    </r>
  </si>
  <si>
    <r>
      <rPr>
        <sz val="11"/>
        <rFont val="Symbol"/>
        <family val="1"/>
        <charset val="2"/>
      </rPr>
      <t>l</t>
    </r>
    <r>
      <rPr>
        <sz val="11"/>
        <rFont val="Century Gothic"/>
        <family val="2"/>
      </rPr>
      <t>2</t>
    </r>
    <r>
      <rPr>
        <sz val="8"/>
        <rFont val="Century Gothic"/>
        <family val="2"/>
      </rPr>
      <t>[W/m/K]</t>
    </r>
  </si>
  <si>
    <t>[mm²]</t>
  </si>
  <si>
    <r>
      <t>1/R</t>
    </r>
    <r>
      <rPr>
        <vertAlign val="subscript"/>
        <sz val="11"/>
        <color theme="1"/>
        <rFont val="Century Gothic"/>
        <family val="2"/>
      </rPr>
      <t>ges</t>
    </r>
    <r>
      <rPr>
        <sz val="11"/>
        <color theme="1"/>
        <rFont val="Century Gothic"/>
        <family val="2"/>
      </rPr>
      <t xml:space="preserve"> [W/(m²K)]</t>
    </r>
  </si>
  <si>
    <r>
      <rPr>
        <sz val="11"/>
        <color theme="1"/>
        <rFont val="Symbol"/>
        <family val="1"/>
        <charset val="2"/>
      </rPr>
      <t>l</t>
    </r>
    <r>
      <rPr>
        <vertAlign val="subscript"/>
        <sz val="11"/>
        <color theme="1"/>
        <rFont val="Century Gothic"/>
        <family val="2"/>
      </rPr>
      <t xml:space="preserve">ges </t>
    </r>
    <r>
      <rPr>
        <sz val="11"/>
        <color theme="1"/>
        <rFont val="Century Gothic"/>
        <family val="2"/>
      </rPr>
      <t>[W/(mK)]</t>
    </r>
  </si>
  <si>
    <r>
      <t>R1</t>
    </r>
    <r>
      <rPr>
        <sz val="8"/>
        <color theme="1"/>
        <rFont val="Century Gothic"/>
        <family val="2"/>
      </rPr>
      <t>[m²K/W]=</t>
    </r>
  </si>
  <si>
    <r>
      <t>R2</t>
    </r>
    <r>
      <rPr>
        <sz val="8"/>
        <color theme="1"/>
        <rFont val="Century Gothic"/>
        <family val="2"/>
      </rPr>
      <t>[m²K/W]=</t>
    </r>
  </si>
  <si>
    <t>Abm.:</t>
  </si>
  <si>
    <t>Gewicht:</t>
  </si>
  <si>
    <t>Phi(RMS)</t>
  </si>
  <si>
    <t>Phi1</t>
  </si>
  <si>
    <t>Phi2</t>
  </si>
  <si>
    <t>Sigma min</t>
  </si>
  <si>
    <t>Sigma max</t>
  </si>
  <si>
    <t>Fläche</t>
  </si>
  <si>
    <r>
      <rPr>
        <sz val="11"/>
        <color theme="0"/>
        <rFont val="Symbol"/>
        <family val="1"/>
        <charset val="2"/>
      </rPr>
      <t>l</t>
    </r>
    <r>
      <rPr>
        <sz val="11"/>
        <color theme="0"/>
        <rFont val="Century Gothic"/>
        <family val="2"/>
      </rPr>
      <t>1</t>
    </r>
  </si>
  <si>
    <r>
      <rPr>
        <sz val="11"/>
        <color theme="0"/>
        <rFont val="Symbol"/>
        <family val="1"/>
        <charset val="2"/>
      </rPr>
      <t>l</t>
    </r>
    <r>
      <rPr>
        <sz val="11"/>
        <color theme="0"/>
        <rFont val="Century Gothic"/>
        <family val="2"/>
      </rPr>
      <t>2</t>
    </r>
  </si>
  <si>
    <r>
      <rPr>
        <sz val="11"/>
        <color theme="0"/>
        <rFont val="Symbol"/>
        <family val="1"/>
        <charset val="2"/>
      </rPr>
      <t>l</t>
    </r>
    <r>
      <rPr>
        <sz val="11"/>
        <color theme="0"/>
        <rFont val="Century Gothic"/>
        <family val="2"/>
      </rPr>
      <t>ges</t>
    </r>
  </si>
  <si>
    <r>
      <t>R</t>
    </r>
    <r>
      <rPr>
        <vertAlign val="subscript"/>
        <sz val="11"/>
        <color theme="0"/>
        <rFont val="Century Gothic"/>
        <family val="2"/>
      </rPr>
      <t>ges</t>
    </r>
    <r>
      <rPr>
        <sz val="11"/>
        <color theme="0"/>
        <rFont val="Century Gothic"/>
        <family val="2"/>
      </rPr>
      <t xml:space="preserve"> [m²K/W]</t>
    </r>
  </si>
  <si>
    <r>
      <t>E</t>
    </r>
    <r>
      <rPr>
        <vertAlign val="subscript"/>
        <sz val="11"/>
        <color theme="1"/>
        <rFont val="Century Gothic"/>
        <family val="2"/>
      </rPr>
      <t>sup</t>
    </r>
    <r>
      <rPr>
        <sz val="11"/>
        <color theme="1"/>
        <rFont val="Century Gothic"/>
        <family val="2"/>
      </rPr>
      <t>:</t>
    </r>
  </si>
  <si>
    <r>
      <t>E</t>
    </r>
    <r>
      <rPr>
        <vertAlign val="subscript"/>
        <sz val="11"/>
        <color theme="1"/>
        <rFont val="Century Gothic"/>
        <family val="2"/>
      </rPr>
      <t>inf</t>
    </r>
    <r>
      <rPr>
        <sz val="11"/>
        <color theme="1"/>
        <rFont val="Century Gothic"/>
        <family val="2"/>
      </rPr>
      <t>:</t>
    </r>
  </si>
  <si>
    <t>D</t>
  </si>
  <si>
    <t>Datum:</t>
  </si>
  <si>
    <t>Anzahl!</t>
  </si>
  <si>
    <t>1.08b</t>
  </si>
  <si>
    <t>Bouwproject:</t>
  </si>
  <si>
    <t>Rekenprogramma Sepatherm</t>
  </si>
  <si>
    <t>Positie:</t>
  </si>
  <si>
    <t>Rechthoek</t>
  </si>
  <si>
    <t>Aantal:</t>
  </si>
  <si>
    <t>Belastingen:</t>
  </si>
  <si>
    <t>Druk:</t>
  </si>
  <si>
    <t>Indrukking:</t>
  </si>
  <si>
    <t>Zijde a:</t>
  </si>
  <si>
    <t>Zijde b:</t>
  </si>
  <si>
    <t>Dikte t:</t>
  </si>
  <si>
    <r>
      <t xml:space="preserve">Sparing </t>
    </r>
    <r>
      <rPr>
        <sz val="11"/>
        <color theme="1"/>
        <rFont val="Calibri"/>
        <family val="2"/>
      </rPr>
      <t>Ø</t>
    </r>
    <r>
      <rPr>
        <sz val="11"/>
        <color theme="1"/>
        <rFont val="Century Gothic"/>
        <family val="2"/>
      </rPr>
      <t>:</t>
    </r>
  </si>
  <si>
    <t>oppervlak:</t>
  </si>
  <si>
    <t>kg/ Stk</t>
  </si>
  <si>
    <t>Vormfactor</t>
  </si>
  <si>
    <t>Kenmerken:</t>
  </si>
  <si>
    <t>Afmeting:</t>
  </si>
  <si>
    <t>berekeningen</t>
  </si>
  <si>
    <t>Warmtetransmissiecoëfficiënt:</t>
  </si>
  <si>
    <t>Bij deze berekening wordt aangenomen dat de sparingen volledig zijn gevuld met (corrosievast) staal. Hieruit wordt de gemiddelde warmtegeleiding bepaald</t>
  </si>
  <si>
    <t>totale oppervlakte:</t>
  </si>
  <si>
    <t>oppervlakte bouten:</t>
  </si>
  <si>
    <t>oppervlakte Sepatherm:</t>
  </si>
  <si>
    <t>stalen bouten</t>
  </si>
  <si>
    <t>Corrosievast stalen bouten</t>
  </si>
  <si>
    <t>Er worden afgeronde waarden getoond</t>
  </si>
  <si>
    <t>controlewaarden</t>
  </si>
  <si>
    <t>Maximaal aantal sparingen</t>
  </si>
  <si>
    <t>Toelaatbare gemiddelde druk</t>
  </si>
  <si>
    <t>cirkel</t>
  </si>
  <si>
    <t>dia- meter_D:</t>
  </si>
  <si>
    <t>Sparing Ø:</t>
  </si>
  <si>
    <t xml:space="preserve">Bij deze berekening wordt aangenomen dat de sparingen volledig zijn gevuld met (corrosievast) staal. Hieruit wordt de gemiddelde warmtegeleiding bepaald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</si>
</sst>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0.000"/>
    <numFmt numFmtId="166" formatCode="0.000000"/>
    <numFmt numFmtId="167" formatCode="0.000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3"/>
      <name val="Cambria"/>
      <family val="2"/>
      <scheme val="major"/>
    </font>
    <font>
      <sz val="11"/>
      <color theme="1"/>
      <name val="Century Gothic"/>
      <family val="2"/>
    </font>
    <font>
      <u/>
      <sz val="11"/>
      <color theme="1"/>
      <name val="Century Gothic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name val="Century Gothic"/>
      <family val="2"/>
    </font>
    <font>
      <sz val="11"/>
      <name val="Symbol"/>
      <family val="1"/>
      <charset val="2"/>
    </font>
    <font>
      <sz val="8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1"/>
      <color theme="0" tint="-0.249977111117893"/>
      <name val="Century Gothic"/>
      <family val="2"/>
    </font>
    <font>
      <vertAlign val="subscript"/>
      <sz val="11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0" tint="-0.249977111117893"/>
      <name val="Century Gothic"/>
      <family val="2"/>
    </font>
    <font>
      <sz val="11"/>
      <color theme="0"/>
      <name val="Symbol"/>
      <family val="1"/>
      <charset val="2"/>
    </font>
    <font>
      <vertAlign val="subscript"/>
      <sz val="11"/>
      <color theme="0"/>
      <name val="Century Gothic"/>
      <family val="2"/>
    </font>
    <font>
      <sz val="11"/>
      <color rgb="FFFF0000"/>
      <name val="Century Gothic"/>
      <family val="2"/>
    </font>
    <font>
      <sz val="10"/>
      <color theme="0" tint="-0.249977111117893"/>
      <name val="Century Gothic"/>
      <family val="2"/>
    </font>
    <font>
      <i/>
      <sz val="8"/>
      <color theme="1"/>
      <name val="Century Gothic"/>
      <family val="2"/>
    </font>
    <font>
      <b/>
      <sz val="11"/>
      <color theme="0" tint="-0.249977111117893"/>
      <name val="Century Gothic"/>
      <family val="2"/>
    </font>
    <font>
      <sz val="11"/>
      <color theme="1" tint="0.499984740745262"/>
      <name val="Century Gothic"/>
      <family val="2"/>
    </font>
    <font>
      <b/>
      <sz val="12"/>
      <color theme="0"/>
      <name val="Century Gothic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6F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9" fontId="24" fillId="0" borderId="0" applyFont="0" applyFill="0" applyBorder="0" applyAlignment="0" applyProtection="0"/>
  </cellStyleXfs>
  <cellXfs count="139">
    <xf numFmtId="0" fontId="0" fillId="0" borderId="0" xfId="0"/>
    <xf numFmtId="0" fontId="4" fillId="34" borderId="0" xfId="0" applyFont="1" applyFill="1"/>
    <xf numFmtId="0" fontId="27" fillId="34" borderId="0" xfId="0" applyFont="1" applyFill="1"/>
    <xf numFmtId="0" fontId="28" fillId="34" borderId="0" xfId="0" applyFont="1" applyFill="1"/>
    <xf numFmtId="0" fontId="4" fillId="34" borderId="15" xfId="0" applyFont="1" applyFill="1" applyBorder="1"/>
    <xf numFmtId="0" fontId="4" fillId="34" borderId="14" xfId="0" applyFont="1" applyFill="1" applyBorder="1"/>
    <xf numFmtId="0" fontId="4" fillId="34" borderId="14" xfId="0" applyFont="1" applyFill="1" applyBorder="1" applyAlignment="1">
      <alignment horizontal="right"/>
    </xf>
    <xf numFmtId="0" fontId="4" fillId="33" borderId="0" xfId="0" applyFont="1" applyFill="1" applyAlignment="1" applyProtection="1">
      <alignment horizontal="center"/>
      <protection locked="0"/>
    </xf>
    <xf numFmtId="2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0" fillId="34" borderId="0" xfId="0" applyFill="1"/>
    <xf numFmtId="0" fontId="4" fillId="34" borderId="13" xfId="0" applyFont="1" applyFill="1" applyBorder="1"/>
    <xf numFmtId="0" fontId="4" fillId="34" borderId="12" xfId="0" applyFont="1" applyFill="1" applyBorder="1" applyAlignment="1">
      <alignment horizontal="center"/>
    </xf>
    <xf numFmtId="0" fontId="31" fillId="34" borderId="0" xfId="0" applyFont="1" applyFill="1" applyAlignment="1">
      <alignment horizontal="left" vertical="center"/>
    </xf>
    <xf numFmtId="10" fontId="4" fillId="34" borderId="0" xfId="44" applyNumberFormat="1" applyFont="1" applyFill="1" applyBorder="1" applyAlignment="1">
      <alignment horizontal="left"/>
    </xf>
    <xf numFmtId="0" fontId="31" fillId="34" borderId="12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31" fillId="34" borderId="17" xfId="0" applyFont="1" applyFill="1" applyBorder="1" applyAlignment="1">
      <alignment horizontal="left" vertical="center"/>
    </xf>
    <xf numFmtId="0" fontId="4" fillId="34" borderId="17" xfId="0" applyFont="1" applyFill="1" applyBorder="1"/>
    <xf numFmtId="0" fontId="4" fillId="34" borderId="20" xfId="0" applyFont="1" applyFill="1" applyBorder="1"/>
    <xf numFmtId="0" fontId="4" fillId="34" borderId="21" xfId="0" applyFont="1" applyFill="1" applyBorder="1"/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right"/>
    </xf>
    <xf numFmtId="0" fontId="28" fillId="34" borderId="22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center"/>
    </xf>
    <xf numFmtId="9" fontId="4" fillId="34" borderId="12" xfId="44" applyFont="1" applyFill="1" applyBorder="1" applyAlignment="1">
      <alignment horizontal="left"/>
    </xf>
    <xf numFmtId="10" fontId="4" fillId="34" borderId="17" xfId="44" applyNumberFormat="1" applyFont="1" applyFill="1" applyBorder="1" applyAlignment="1">
      <alignment horizontal="left"/>
    </xf>
    <xf numFmtId="0" fontId="4" fillId="34" borderId="18" xfId="0" applyFont="1" applyFill="1" applyBorder="1"/>
    <xf numFmtId="0" fontId="4" fillId="34" borderId="16" xfId="0" applyFont="1" applyFill="1" applyBorder="1"/>
    <xf numFmtId="49" fontId="4" fillId="34" borderId="14" xfId="0" applyNumberFormat="1" applyFont="1" applyFill="1" applyBorder="1" applyAlignment="1">
      <alignment horizontal="right"/>
    </xf>
    <xf numFmtId="0" fontId="5" fillId="34" borderId="14" xfId="0" applyFont="1" applyFill="1" applyBorder="1"/>
    <xf numFmtId="164" fontId="27" fillId="34" borderId="0" xfId="0" applyNumberFormat="1" applyFont="1" applyFill="1"/>
    <xf numFmtId="2" fontId="27" fillId="34" borderId="0" xfId="0" applyNumberFormat="1" applyFont="1" applyFill="1"/>
    <xf numFmtId="10" fontId="27" fillId="34" borderId="0" xfId="44" applyNumberFormat="1" applyFont="1" applyFill="1" applyBorder="1"/>
    <xf numFmtId="167" fontId="27" fillId="34" borderId="0" xfId="0" applyNumberFormat="1" applyFont="1" applyFill="1"/>
    <xf numFmtId="10" fontId="27" fillId="34" borderId="0" xfId="0" applyNumberFormat="1" applyFont="1" applyFill="1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right"/>
    </xf>
    <xf numFmtId="0" fontId="27" fillId="34" borderId="0" xfId="0" applyFont="1" applyFill="1" applyAlignment="1">
      <alignment vertical="center"/>
    </xf>
    <xf numFmtId="14" fontId="4" fillId="34" borderId="13" xfId="0" applyNumberFormat="1" applyFont="1" applyFill="1" applyBorder="1" applyAlignment="1">
      <alignment horizontal="center"/>
    </xf>
    <xf numFmtId="0" fontId="40" fillId="34" borderId="0" xfId="0" applyFont="1" applyFill="1"/>
    <xf numFmtId="0" fontId="41" fillId="34" borderId="18" xfId="0" applyFont="1" applyFill="1" applyBorder="1" applyAlignment="1">
      <alignment horizontal="center"/>
    </xf>
    <xf numFmtId="14" fontId="42" fillId="34" borderId="15" xfId="0" applyNumberFormat="1" applyFont="1" applyFill="1" applyBorder="1" applyAlignment="1">
      <alignment horizontal="center"/>
    </xf>
    <xf numFmtId="0" fontId="43" fillId="34" borderId="0" xfId="0" applyFont="1" applyFill="1" applyAlignment="1">
      <alignment horizontal="right"/>
    </xf>
    <xf numFmtId="0" fontId="43" fillId="34" borderId="0" xfId="0" applyFont="1" applyFill="1"/>
    <xf numFmtId="0" fontId="37" fillId="34" borderId="0" xfId="0" applyFont="1" applyFill="1"/>
    <xf numFmtId="166" fontId="43" fillId="34" borderId="0" xfId="0" applyNumberFormat="1" applyFont="1" applyFill="1"/>
    <xf numFmtId="164" fontId="43" fillId="34" borderId="0" xfId="0" applyNumberFormat="1" applyFont="1" applyFill="1"/>
    <xf numFmtId="165" fontId="43" fillId="34" borderId="0" xfId="0" applyNumberFormat="1" applyFont="1" applyFill="1"/>
    <xf numFmtId="0" fontId="44" fillId="34" borderId="0" xfId="0" applyFont="1" applyFill="1"/>
    <xf numFmtId="0" fontId="44" fillId="34" borderId="0" xfId="0" applyFont="1" applyFill="1" applyAlignment="1">
      <alignment horizontal="center"/>
    </xf>
    <xf numFmtId="0" fontId="45" fillId="34" borderId="15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8" xfId="0" applyFont="1" applyFill="1" applyBorder="1"/>
    <xf numFmtId="0" fontId="1" fillId="34" borderId="14" xfId="0" applyFont="1" applyFill="1" applyBorder="1" applyAlignment="1">
      <alignment horizontal="right"/>
    </xf>
    <xf numFmtId="0" fontId="1" fillId="34" borderId="18" xfId="0" applyFont="1" applyFill="1" applyBorder="1"/>
    <xf numFmtId="0" fontId="1" fillId="34" borderId="0" xfId="0" applyFont="1" applyFill="1" applyAlignment="1">
      <alignment horizontal="left"/>
    </xf>
    <xf numFmtId="0" fontId="27" fillId="34" borderId="14" xfId="0" applyFont="1" applyFill="1" applyBorder="1"/>
    <xf numFmtId="0" fontId="36" fillId="34" borderId="15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 vertical="center" wrapText="1"/>
    </xf>
    <xf numFmtId="0" fontId="27" fillId="34" borderId="0" xfId="0" applyFont="1" applyFill="1" applyAlignment="1">
      <alignment horizontal="left"/>
    </xf>
    <xf numFmtId="0" fontId="33" fillId="34" borderId="16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33" fillId="34" borderId="18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4" fillId="34" borderId="15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4" borderId="17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165" fontId="26" fillId="34" borderId="0" xfId="0" applyNumberFormat="1" applyFont="1" applyFill="1" applyAlignment="1">
      <alignment horizontal="left" vertical="center"/>
    </xf>
    <xf numFmtId="165" fontId="26" fillId="34" borderId="17" xfId="0" applyNumberFormat="1" applyFont="1" applyFill="1" applyBorder="1" applyAlignment="1">
      <alignment horizontal="left" vertical="center"/>
    </xf>
    <xf numFmtId="0" fontId="27" fillId="34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35" fillId="34" borderId="14" xfId="0" applyFont="1" applyFill="1" applyBorder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right" vertical="center"/>
    </xf>
    <xf numFmtId="0" fontId="32" fillId="34" borderId="21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1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0" fontId="27" fillId="34" borderId="0" xfId="0" applyFont="1" applyFill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4" borderId="0" xfId="0" applyFont="1" applyFill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" fillId="35" borderId="12" xfId="0" applyFont="1" applyFill="1" applyBorder="1" applyAlignment="1" applyProtection="1">
      <alignment horizontal="left"/>
      <protection locked="0"/>
    </xf>
    <xf numFmtId="0" fontId="4" fillId="35" borderId="12" xfId="0" applyFont="1" applyFill="1" applyBorder="1" applyAlignment="1" applyProtection="1">
      <alignment horizontal="left"/>
      <protection locked="0"/>
    </xf>
    <xf numFmtId="0" fontId="1" fillId="35" borderId="0" xfId="0" applyFont="1" applyFill="1" applyAlignment="1" applyProtection="1">
      <alignment horizontal="left"/>
      <protection locked="0"/>
    </xf>
    <xf numFmtId="0" fontId="4" fillId="35" borderId="0" xfId="0" applyFont="1" applyFill="1" applyAlignment="1" applyProtection="1">
      <alignment horizontal="left"/>
      <protection locked="0"/>
    </xf>
    <xf numFmtId="0" fontId="4" fillId="35" borderId="17" xfId="0" applyFont="1" applyFill="1" applyBorder="1" applyAlignment="1" applyProtection="1">
      <alignment horizontal="left"/>
      <protection locked="0"/>
    </xf>
    <xf numFmtId="0" fontId="1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horizontal="right" wrapText="1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4" borderId="15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</cellXfs>
  <cellStyles count="45">
    <cellStyle name="20% - Akzent1 2" xfId="21" xr:uid="{00000000-0005-0000-0000-000000000000}"/>
    <cellStyle name="20% - Akzent2 2" xfId="25" xr:uid="{00000000-0005-0000-0000-000001000000}"/>
    <cellStyle name="20% - Akzent3 2" xfId="29" xr:uid="{00000000-0005-0000-0000-000002000000}"/>
    <cellStyle name="20% - Akzent4 2" xfId="33" xr:uid="{00000000-0005-0000-0000-000003000000}"/>
    <cellStyle name="20% - Akzent5 2" xfId="37" xr:uid="{00000000-0005-0000-0000-000004000000}"/>
    <cellStyle name="20% - Akzent6 2" xfId="41" xr:uid="{00000000-0005-0000-0000-000005000000}"/>
    <cellStyle name="40% - Akzent1 2" xfId="22" xr:uid="{00000000-0005-0000-0000-000006000000}"/>
    <cellStyle name="40% - Akzent2 2" xfId="26" xr:uid="{00000000-0005-0000-0000-000007000000}"/>
    <cellStyle name="40% - Akzent3 2" xfId="30" xr:uid="{00000000-0005-0000-0000-000008000000}"/>
    <cellStyle name="40% - Akzent4 2" xfId="34" xr:uid="{00000000-0005-0000-0000-000009000000}"/>
    <cellStyle name="40% - Akzent5 2" xfId="38" xr:uid="{00000000-0005-0000-0000-00000A000000}"/>
    <cellStyle name="40% - Akzent6 2" xfId="42" xr:uid="{00000000-0005-0000-0000-00000B000000}"/>
    <cellStyle name="60% - Akzent1 2" xfId="23" xr:uid="{00000000-0005-0000-0000-00000C000000}"/>
    <cellStyle name="60% - Akzent2 2" xfId="27" xr:uid="{00000000-0005-0000-0000-00000D000000}"/>
    <cellStyle name="60% - Akzent3 2" xfId="31" xr:uid="{00000000-0005-0000-0000-00000E000000}"/>
    <cellStyle name="60% - Akzent4 2" xfId="35" xr:uid="{00000000-0005-0000-0000-00000F000000}"/>
    <cellStyle name="60% - Akzent5 2" xfId="39" xr:uid="{00000000-0005-0000-0000-000010000000}"/>
    <cellStyle name="60% - Akzent6 2" xfId="43" xr:uid="{00000000-0005-0000-0000-000011000000}"/>
    <cellStyle name="Akzent1 2" xfId="20" xr:uid="{00000000-0005-0000-0000-000012000000}"/>
    <cellStyle name="Akzent2 2" xfId="24" xr:uid="{00000000-0005-0000-0000-000013000000}"/>
    <cellStyle name="Akzent3 2" xfId="28" xr:uid="{00000000-0005-0000-0000-000014000000}"/>
    <cellStyle name="Akzent4 2" xfId="32" xr:uid="{00000000-0005-0000-0000-000015000000}"/>
    <cellStyle name="Akzent5 2" xfId="36" xr:uid="{00000000-0005-0000-0000-000016000000}"/>
    <cellStyle name="Akzent6 2" xfId="40" xr:uid="{00000000-0005-0000-0000-000017000000}"/>
    <cellStyle name="Ausgabe 2" xfId="12" xr:uid="{00000000-0005-0000-0000-000018000000}"/>
    <cellStyle name="Berechnung 2" xfId="13" xr:uid="{00000000-0005-0000-0000-000019000000}"/>
    <cellStyle name="Eingabe 2" xfId="11" xr:uid="{00000000-0005-0000-0000-00001A000000}"/>
    <cellStyle name="Ergebnis 2" xfId="19" xr:uid="{00000000-0005-0000-0000-00001B000000}"/>
    <cellStyle name="Erklärender Text 2" xfId="18" xr:uid="{00000000-0005-0000-0000-00001C000000}"/>
    <cellStyle name="Gut 2" xfId="8" xr:uid="{00000000-0005-0000-0000-00001D000000}"/>
    <cellStyle name="Neutral 2" xfId="10" xr:uid="{00000000-0005-0000-0000-00001E000000}"/>
    <cellStyle name="Notiz 2" xfId="17" xr:uid="{00000000-0005-0000-0000-00001F000000}"/>
    <cellStyle name="Procent" xfId="44" builtinId="5"/>
    <cellStyle name="Schlecht 2" xfId="9" xr:uid="{00000000-0005-0000-0000-000021000000}"/>
    <cellStyle name="Standaard" xfId="0" builtinId="0"/>
    <cellStyle name="Standard 2" xfId="3" xr:uid="{00000000-0005-0000-0000-000023000000}"/>
    <cellStyle name="Standard 3" xfId="2" xr:uid="{00000000-0005-0000-0000-000024000000}"/>
    <cellStyle name="Titel" xfId="1" builtinId="15" customBuiltin="1"/>
    <cellStyle name="Überschrift 1 2" xfId="4" xr:uid="{00000000-0005-0000-0000-000026000000}"/>
    <cellStyle name="Überschrift 2 2" xfId="5" xr:uid="{00000000-0005-0000-0000-000027000000}"/>
    <cellStyle name="Überschrift 3 2" xfId="6" xr:uid="{00000000-0005-0000-0000-000028000000}"/>
    <cellStyle name="Überschrift 4 2" xfId="7" xr:uid="{00000000-0005-0000-0000-000029000000}"/>
    <cellStyle name="Verknüpfte Zelle 2" xfId="14" xr:uid="{00000000-0005-0000-0000-00002A000000}"/>
    <cellStyle name="Warnender Text 2" xfId="16" xr:uid="{00000000-0005-0000-0000-00002B000000}"/>
    <cellStyle name="Zelle überprüfen 2" xfId="15" xr:uid="{00000000-0005-0000-0000-00002C000000}"/>
  </cellStyles>
  <dxfs count="6">
    <dxf>
      <font>
        <color theme="0"/>
      </font>
      <fill>
        <patternFill patternType="solid">
          <fgColor theme="0"/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FF00"/>
      <color rgb="FFFFFF00"/>
      <color rgb="FFED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4785734271749E-2"/>
          <c:y val="6.8906025922017514E-2"/>
          <c:w val="0.90087152665676584"/>
          <c:h val="0.87575885488541039"/>
        </c:manualLayout>
      </c:layout>
      <c:scatterChart>
        <c:scatterStyle val="smoothMarker"/>
        <c:varyColors val="0"/>
        <c:ser>
          <c:idx val="0"/>
          <c:order val="0"/>
          <c:tx>
            <c:v>Phi1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rechthoek!$I$11:$I$14</c:f>
              <c:numCache>
                <c:formatCode>General</c:formatCode>
                <c:ptCount val="4"/>
                <c:pt idx="0">
                  <c:v>0.1</c:v>
                </c:pt>
                <c:pt idx="1">
                  <c:v>0.33621262458471762</c:v>
                </c:pt>
                <c:pt idx="2">
                  <c:v>0.75571002979145974</c:v>
                </c:pt>
                <c:pt idx="3">
                  <c:v>1</c:v>
                </c:pt>
              </c:numCache>
            </c:numRef>
          </c:xVal>
          <c:yVal>
            <c:numRef>
              <c:f>rechthoek!$J$11:$J$14</c:f>
              <c:numCache>
                <c:formatCode>General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A9-4FCD-A343-3579378C0A1E}"/>
            </c:ext>
          </c:extLst>
        </c:ser>
        <c:ser>
          <c:idx val="2"/>
          <c:order val="1"/>
          <c:tx>
            <c:v>ps1</c:v>
          </c:tx>
          <c:spPr>
            <a:ln w="25400">
              <a:solidFill>
                <a:schemeClr val="tx1"/>
              </a:solidFill>
              <a:tailEnd type="triangle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7360356540131007E-2"/>
                  <c:y val="0.14048531458776681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A9-4FCD-A343-3579378C0A1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rechthoek!$K$11:$K$12</c:f>
              <c:numCache>
                <c:formatCode>General</c:formatCode>
                <c:ptCount val="2"/>
                <c:pt idx="0">
                  <c:v>0.64</c:v>
                </c:pt>
                <c:pt idx="1">
                  <c:v>0.64</c:v>
                </c:pt>
              </c:numCache>
            </c:numRef>
          </c:xVal>
          <c:yVal>
            <c:numRef>
              <c:f>rechthoek!$L$11:$L$12</c:f>
              <c:numCache>
                <c:formatCode>General</c:formatCode>
                <c:ptCount val="2"/>
                <c:pt idx="0">
                  <c:v>0</c:v>
                </c:pt>
                <c:pt idx="1">
                  <c:v>0.7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9-4FCD-A343-3579378C0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24032"/>
        <c:axId val="105062784"/>
      </c:scatterChart>
      <c:valAx>
        <c:axId val="104524032"/>
        <c:scaling>
          <c:orientation val="minMax"/>
          <c:max val="1.05"/>
          <c:min val="0.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/>
                  <a:t>verhouding</a:t>
                </a:r>
                <a:r>
                  <a:rPr lang="de-DE"/>
                  <a:t> a/b</a:t>
                </a:r>
              </a:p>
            </c:rich>
          </c:tx>
          <c:layout>
            <c:manualLayout>
              <c:xMode val="edge"/>
              <c:yMode val="edge"/>
              <c:x val="0.76976492111663541"/>
              <c:y val="0.83313594771241828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062784"/>
        <c:crosses val="autoZero"/>
        <c:crossBetween val="midCat"/>
      </c:valAx>
      <c:valAx>
        <c:axId val="105062784"/>
        <c:scaling>
          <c:orientation val="minMax"/>
          <c:max val="1"/>
          <c:min val="0.60000000000000064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4524032"/>
        <c:crosses val="autoZero"/>
        <c:crossBetween val="midCat"/>
      </c:valAx>
      <c:spPr>
        <a:solidFill>
          <a:sysClr val="window" lastClr="FFFFFF">
            <a:alpha val="32000"/>
          </a:sysClr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395289079160046"/>
          <c:y val="9.8863451928839677E-2"/>
          <c:w val="0.13675177030197369"/>
          <c:h val="0.1105728758169934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81225113536114E-2"/>
          <c:y val="6.4828929717118913E-2"/>
          <c:w val="0.91905469103118764"/>
          <c:h val="0.87575885488541039"/>
        </c:manualLayout>
      </c:layout>
      <c:scatterChart>
        <c:scatterStyle val="smoothMarker"/>
        <c:varyColors val="0"/>
        <c:ser>
          <c:idx val="1"/>
          <c:order val="0"/>
          <c:tx>
            <c:v>Phi2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rechthoek!$I$16:$I$19</c:f>
              <c:numCache>
                <c:formatCode>General</c:formatCode>
                <c:ptCount val="4"/>
                <c:pt idx="0">
                  <c:v>0.62279964169410285</c:v>
                </c:pt>
                <c:pt idx="1">
                  <c:v>0.93019880855026704</c:v>
                </c:pt>
                <c:pt idx="2">
                  <c:v>1.0622922106919563</c:v>
                </c:pt>
                <c:pt idx="3">
                  <c:v>5</c:v>
                </c:pt>
              </c:numCache>
            </c:numRef>
          </c:xVal>
          <c:yVal>
            <c:numRef>
              <c:f>rechthoek!$J$16:$J$19</c:f>
              <c:numCache>
                <c:formatCode>General</c:formatCode>
                <c:ptCount val="4"/>
                <c:pt idx="0">
                  <c:v>1</c:v>
                </c:pt>
                <c:pt idx="1">
                  <c:v>0.70067236416609879</c:v>
                </c:pt>
                <c:pt idx="2">
                  <c:v>0.69047930211862019</c:v>
                </c:pt>
                <c:pt idx="3">
                  <c:v>0.63970305596240395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E4-4AA5-9878-90EF59F018DC}"/>
            </c:ext>
          </c:extLst>
        </c:ser>
        <c:ser>
          <c:idx val="3"/>
          <c:order val="1"/>
          <c:tx>
            <c:v>PS2</c:v>
          </c:tx>
          <c:spPr>
            <a:ln w="25400">
              <a:solidFill>
                <a:schemeClr val="tx1"/>
              </a:solidFill>
              <a:tailEnd type="triangle" w="med" len="lg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9408880566496635E-2"/>
                  <c:y val="0.10104084967320262"/>
                </c:manualLayout>
              </c:layout>
              <c:numFmt formatCode="#,##0.0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E4-4AA5-9878-90EF59F018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rechthoek!$K$15:$K$16</c:f>
              <c:numCache>
                <c:formatCode>General</c:formatCode>
                <c:ptCount val="2"/>
                <c:pt idx="0" formatCode="0.00">
                  <c:v>4.8780487804878048</c:v>
                </c:pt>
                <c:pt idx="1">
                  <c:v>4.8780487804878048</c:v>
                </c:pt>
              </c:numCache>
            </c:numRef>
          </c:xVal>
          <c:yVal>
            <c:numRef>
              <c:f>rechthoek!$L$15:$L$16</c:f>
              <c:numCache>
                <c:formatCode>General</c:formatCode>
                <c:ptCount val="2"/>
                <c:pt idx="0">
                  <c:v>0</c:v>
                </c:pt>
                <c:pt idx="1">
                  <c:v>0.64076536585365851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E4-4AA5-9878-90EF59F01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05280"/>
        <c:axId val="105111552"/>
      </c:scatterChart>
      <c:valAx>
        <c:axId val="105105280"/>
        <c:scaling>
          <c:orientation val="minMax"/>
          <c:max val="5"/>
          <c:min val="0.5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Vormfactor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86636310023460539"/>
              <c:y val="0.84143660130718967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111552"/>
        <c:crosses val="autoZero"/>
        <c:crossBetween val="midCat"/>
      </c:valAx>
      <c:valAx>
        <c:axId val="105111552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105280"/>
        <c:crosses val="autoZero"/>
        <c:crossBetween val="midCat"/>
      </c:valAx>
      <c:spPr>
        <a:solidFill>
          <a:sysClr val="window" lastClr="FFFFFF">
            <a:alpha val="46000"/>
          </a:sysClr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4591891430666162"/>
          <c:y val="9.4804097490743727E-2"/>
          <c:w val="0.15205923247454894"/>
          <c:h val="0.1017166666666666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2397352241035E-2"/>
          <c:y val="3.1626497654105981E-2"/>
          <c:w val="0.91905469103118764"/>
          <c:h val="0.87575885488541105"/>
        </c:manualLayout>
      </c:layout>
      <c:scatterChart>
        <c:scatterStyle val="smoothMarker"/>
        <c:varyColors val="0"/>
        <c:ser>
          <c:idx val="1"/>
          <c:order val="0"/>
          <c:tx>
            <c:v>u z,rd,sup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rechthoek!$J$25:$J$30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65</c:v>
                </c:pt>
                <c:pt idx="4">
                  <c:v>9.308897830713752</c:v>
                </c:pt>
                <c:pt idx="5">
                  <c:v>18.617795661427504</c:v>
                </c:pt>
              </c:numCache>
            </c:numRef>
          </c:xVal>
          <c:yVal>
            <c:numRef>
              <c:f>rechthoek!$N$25:$N$30</c:f>
              <c:numCache>
                <c:formatCode>General</c:formatCode>
                <c:ptCount val="6"/>
                <c:pt idx="0">
                  <c:v>0.1</c:v>
                </c:pt>
                <c:pt idx="1">
                  <c:v>0.11064428571428572</c:v>
                </c:pt>
                <c:pt idx="2">
                  <c:v>0.41932857142857138</c:v>
                </c:pt>
                <c:pt idx="3">
                  <c:v>0.79187857142857143</c:v>
                </c:pt>
                <c:pt idx="4">
                  <c:v>0.19908656819521167</c:v>
                </c:pt>
                <c:pt idx="5">
                  <c:v>0.29817313639042331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3D-4AA4-9905-DDE78E4D16EC}"/>
            </c:ext>
          </c:extLst>
        </c:ser>
        <c:ser>
          <c:idx val="0"/>
          <c:order val="1"/>
          <c:tx>
            <c:strRef>
              <c:f>rechthoek!$L$49</c:f>
              <c:strCache>
                <c:ptCount val="1"/>
                <c:pt idx="0">
                  <c:v>u z,rd,inf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rechthoek!$J$25:$J$30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65</c:v>
                </c:pt>
                <c:pt idx="4">
                  <c:v>9.308897830713752</c:v>
                </c:pt>
                <c:pt idx="5">
                  <c:v>18.617795661427504</c:v>
                </c:pt>
              </c:numCache>
            </c:numRef>
          </c:xVal>
          <c:yVal>
            <c:numRef>
              <c:f>rechthoek!$M$25:$M$30</c:f>
              <c:numCache>
                <c:formatCode>General</c:formatCode>
                <c:ptCount val="6"/>
                <c:pt idx="0">
                  <c:v>0.1</c:v>
                </c:pt>
                <c:pt idx="1">
                  <c:v>0.10876588235294118</c:v>
                </c:pt>
                <c:pt idx="2">
                  <c:v>0.36297647058823523</c:v>
                </c:pt>
                <c:pt idx="3">
                  <c:v>0.6697823529411765</c:v>
                </c:pt>
                <c:pt idx="4">
                  <c:v>0.18160070321958607</c:v>
                </c:pt>
                <c:pt idx="5">
                  <c:v>0.26320140643917211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53D-4AA4-9905-DDE78E4D16EC}"/>
            </c:ext>
          </c:extLst>
        </c:ser>
        <c:ser>
          <c:idx val="3"/>
          <c:order val="2"/>
          <c:spPr>
            <a:ln>
              <a:solidFill>
                <a:schemeClr val="tx1"/>
              </a:solidFill>
              <a:tailEnd type="triangle" w="med" len="lg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4.5007046187082941E-2"/>
                  <c:y val="-5.510989188101701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3D-4AA4-9905-DDE78E4D16E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3D-4AA4-9905-DDE78E4D16EC}"/>
                </c:ext>
              </c:extLst>
            </c:dLbl>
            <c:numFmt formatCode="0.000&quot;mm&quot;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rechthoek!$J$32:$J$33</c:f>
              <c:numCache>
                <c:formatCode>General</c:formatCode>
                <c:ptCount val="2"/>
                <c:pt idx="0">
                  <c:v>9.308897830713752</c:v>
                </c:pt>
                <c:pt idx="1">
                  <c:v>0</c:v>
                </c:pt>
              </c:numCache>
            </c:numRef>
          </c:xVal>
          <c:yVal>
            <c:numRef>
              <c:f>rechthoek!$M$32:$M$33</c:f>
              <c:numCache>
                <c:formatCode>0.00%</c:formatCode>
                <c:ptCount val="2"/>
                <c:pt idx="0">
                  <c:v>0.18160070321958607</c:v>
                </c:pt>
                <c:pt idx="1">
                  <c:v>0.18160070321958607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3D-4AA4-9905-DDE78E4D16EC}"/>
            </c:ext>
          </c:extLst>
        </c:ser>
        <c:ser>
          <c:idx val="2"/>
          <c:order val="3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20088576950863138"/>
                  <c:y val="9.23240746195495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3D-4AA4-9905-DDE78E4D16E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3D-4AA4-9905-DDE78E4D16EC}"/>
                </c:ext>
              </c:extLst>
            </c:dLbl>
            <c:numFmt formatCode="0.000&quot;mm&quot;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rechthoek!$J$34:$J$35</c:f>
              <c:numCache>
                <c:formatCode>General</c:formatCode>
                <c:ptCount val="2"/>
                <c:pt idx="0">
                  <c:v>18.617795661427504</c:v>
                </c:pt>
                <c:pt idx="1">
                  <c:v>0</c:v>
                </c:pt>
              </c:numCache>
            </c:numRef>
          </c:xVal>
          <c:yVal>
            <c:numRef>
              <c:f>rechthoek!$N$34:$N$35</c:f>
              <c:numCache>
                <c:formatCode>0.00%</c:formatCode>
                <c:ptCount val="2"/>
                <c:pt idx="0">
                  <c:v>0.29817313639042331</c:v>
                </c:pt>
                <c:pt idx="1">
                  <c:v>0.29817313639042331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253D-4AA4-9905-DDE78E4D16EC}"/>
            </c:ext>
          </c:extLst>
        </c:ser>
        <c:ser>
          <c:idx val="4"/>
          <c:order val="4"/>
          <c:tx>
            <c:strRef>
              <c:f>rechthoek!$K$55</c:f>
              <c:strCache>
                <c:ptCount val="1"/>
                <c:pt idx="0">
                  <c:v>Toelaatbare gemiddelde druk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rechthoek!$K$56:$K$57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rechthoek!$L$56:$L$57</c:f>
              <c:numCache>
                <c:formatCode>General</c:formatCode>
                <c:ptCount val="2"/>
                <c:pt idx="0">
                  <c:v>0</c:v>
                </c:pt>
                <c:pt idx="1">
                  <c:v>0.79187857142857143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53D-4AA4-9905-DDE78E4D1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72992"/>
        <c:axId val="105174912"/>
      </c:scatterChart>
      <c:valAx>
        <c:axId val="105172992"/>
        <c:scaling>
          <c:orientation val="minMax"/>
          <c:max val="60"/>
          <c:min val="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spanning [N/mm²]</a:t>
                </a:r>
              </a:p>
            </c:rich>
          </c:tx>
          <c:layout>
            <c:manualLayout>
              <c:xMode val="edge"/>
              <c:yMode val="edge"/>
              <c:x val="0.7948934539413901"/>
              <c:y val="0.8487665854875802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174912"/>
        <c:crosses val="autoZero"/>
        <c:crossBetween val="midCat"/>
      </c:valAx>
      <c:valAx>
        <c:axId val="1051749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Indrukking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6.5603409311035074E-2"/>
              <c:y val="4.7085955259776713E-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17299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691250726415706"/>
          <c:y val="5.0443997847549674E-2"/>
          <c:w val="0.28747959412285079"/>
          <c:h val="0.20336968339208644"/>
        </c:manualLayout>
      </c:layout>
      <c:overlay val="0"/>
      <c:spPr>
        <a:solidFill>
          <a:sysClr val="window" lastClr="FFFFFF">
            <a:alpha val="68000"/>
          </a:sysClr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3583" r="0.39370078740157488" t="0.826771653543309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4785734271749E-2"/>
          <c:y val="6.8906025922017514E-2"/>
          <c:w val="0.90087152665676584"/>
          <c:h val="0.87575885488541072"/>
        </c:manualLayout>
      </c:layout>
      <c:scatterChart>
        <c:scatterStyle val="smoothMarker"/>
        <c:varyColors val="0"/>
        <c:ser>
          <c:idx val="0"/>
          <c:order val="0"/>
          <c:tx>
            <c:v>Phi1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cirkel!$I$11:$I$14</c:f>
              <c:numCache>
                <c:formatCode>General</c:formatCode>
                <c:ptCount val="4"/>
                <c:pt idx="0">
                  <c:v>0.1</c:v>
                </c:pt>
                <c:pt idx="1">
                  <c:v>0.33621262458471762</c:v>
                </c:pt>
                <c:pt idx="2">
                  <c:v>0.75571002979145974</c:v>
                </c:pt>
                <c:pt idx="3">
                  <c:v>1</c:v>
                </c:pt>
              </c:numCache>
            </c:numRef>
          </c:xVal>
          <c:yVal>
            <c:numRef>
              <c:f>cirkel!$J$11:$J$14</c:f>
              <c:numCache>
                <c:formatCode>General</c:formatCode>
                <c:ptCount val="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4-4D97-A849-F7FED8B9072C}"/>
            </c:ext>
          </c:extLst>
        </c:ser>
        <c:ser>
          <c:idx val="2"/>
          <c:order val="1"/>
          <c:tx>
            <c:v>ps1</c:v>
          </c:tx>
          <c:spPr>
            <a:ln w="25400">
              <a:solidFill>
                <a:schemeClr val="tx1"/>
              </a:solidFill>
              <a:tailEnd type="triangle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7360356540131007E-2"/>
                  <c:y val="0.14048531458776692"/>
                </c:manualLayout>
              </c:layout>
              <c:numFmt formatCode="#,##0.00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B4-4D97-A849-F7FED8B9072C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cirkel!$K$11:$K$12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cirkel!$L$11:$L$12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B4-4D97-A849-F7FED8B90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09088"/>
        <c:axId val="105623552"/>
      </c:scatterChart>
      <c:valAx>
        <c:axId val="105609088"/>
        <c:scaling>
          <c:orientation val="minMax"/>
          <c:max val="1.05"/>
          <c:min val="0.1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nl-NL" sz="1000" b="1" i="0" u="none" strike="noStrike" baseline="0">
                    <a:effectLst/>
                  </a:rPr>
                  <a:t>verhouding</a:t>
                </a:r>
                <a:r>
                  <a:rPr lang="de-DE" sz="1000" b="1" i="0" u="none" strike="noStrike" baseline="0">
                    <a:effectLst/>
                  </a:rPr>
                  <a:t> </a:t>
                </a:r>
                <a:r>
                  <a:rPr lang="de-DE"/>
                  <a:t> a/b</a:t>
                </a:r>
              </a:p>
            </c:rich>
          </c:tx>
          <c:layout>
            <c:manualLayout>
              <c:xMode val="edge"/>
              <c:yMode val="edge"/>
              <c:x val="0.75334763376355818"/>
              <c:y val="0.83313594771241828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623552"/>
        <c:crosses val="autoZero"/>
        <c:crossBetween val="midCat"/>
      </c:valAx>
      <c:valAx>
        <c:axId val="105623552"/>
        <c:scaling>
          <c:orientation val="minMax"/>
          <c:max val="1"/>
          <c:min val="0.60000000000000064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5609088"/>
        <c:crosses val="autoZero"/>
        <c:crossBetween val="midCat"/>
      </c:valAx>
      <c:spPr>
        <a:solidFill>
          <a:sysClr val="window" lastClr="FFFFFF">
            <a:alpha val="32000"/>
          </a:sysClr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2395289079160046"/>
          <c:y val="9.8863451928839718E-2"/>
          <c:w val="0.13675177030197369"/>
          <c:h val="0.1105728758169934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81225113536114E-2"/>
          <c:y val="6.4828929717118913E-2"/>
          <c:w val="0.91905469103118764"/>
          <c:h val="0.87575885488541072"/>
        </c:manualLayout>
      </c:layout>
      <c:scatterChart>
        <c:scatterStyle val="smoothMarker"/>
        <c:varyColors val="0"/>
        <c:ser>
          <c:idx val="1"/>
          <c:order val="0"/>
          <c:tx>
            <c:v>Phi2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cirkel!$I$16:$I$19</c:f>
              <c:numCache>
                <c:formatCode>General</c:formatCode>
                <c:ptCount val="4"/>
                <c:pt idx="0">
                  <c:v>0.62279964169410285</c:v>
                </c:pt>
                <c:pt idx="1">
                  <c:v>0.93019880855026704</c:v>
                </c:pt>
                <c:pt idx="2">
                  <c:v>1.0622922106919563</c:v>
                </c:pt>
                <c:pt idx="3">
                  <c:v>5</c:v>
                </c:pt>
              </c:numCache>
            </c:numRef>
          </c:xVal>
          <c:yVal>
            <c:numRef>
              <c:f>cirkel!$J$16:$J$19</c:f>
              <c:numCache>
                <c:formatCode>General</c:formatCode>
                <c:ptCount val="4"/>
                <c:pt idx="0">
                  <c:v>1</c:v>
                </c:pt>
                <c:pt idx="1">
                  <c:v>0.70067236416609879</c:v>
                </c:pt>
                <c:pt idx="2">
                  <c:v>0.69047930211862019</c:v>
                </c:pt>
                <c:pt idx="3">
                  <c:v>0.63970305596240395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06-4616-AAAA-28BC69CD855A}"/>
            </c:ext>
          </c:extLst>
        </c:ser>
        <c:ser>
          <c:idx val="3"/>
          <c:order val="1"/>
          <c:tx>
            <c:v>PS2</c:v>
          </c:tx>
          <c:spPr>
            <a:ln w="25400">
              <a:solidFill>
                <a:schemeClr val="tx1"/>
              </a:solidFill>
              <a:tailEnd type="triangle" w="med" len="lg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9408880566496635E-2"/>
                  <c:y val="0.10104084967320262"/>
                </c:manualLayout>
              </c:layout>
              <c:numFmt formatCode="#,##0.00" sourceLinked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nl-N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6-4616-AAAA-28BC69CD85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cirkel!$K$15:$K$16</c:f>
              <c:numCache>
                <c:formatCode>General</c:formatCode>
                <c:ptCount val="2"/>
                <c:pt idx="0" formatCode="0.00">
                  <c:v>1.25</c:v>
                </c:pt>
                <c:pt idx="1">
                  <c:v>1.25</c:v>
                </c:pt>
              </c:numCache>
            </c:numRef>
          </c:xVal>
          <c:yVal>
            <c:numRef>
              <c:f>cirkel!$L$15:$L$16</c:f>
              <c:numCache>
                <c:formatCode>General</c:formatCode>
                <c:ptCount val="2"/>
                <c:pt idx="0">
                  <c:v>0</c:v>
                </c:pt>
                <c:pt idx="1">
                  <c:v>0.68793000000000004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D06-4616-AAAA-28BC69CD8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497728"/>
        <c:axId val="107508096"/>
      </c:scatterChart>
      <c:valAx>
        <c:axId val="107497728"/>
        <c:scaling>
          <c:orientation val="minMax"/>
          <c:max val="5"/>
          <c:min val="0.5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Vormfactor</a:t>
                </a:r>
              </a:p>
            </c:rich>
          </c:tx>
          <c:layout>
            <c:manualLayout>
              <c:xMode val="edge"/>
              <c:yMode val="edge"/>
              <c:x val="0.86636310023460539"/>
              <c:y val="0.84143660130718967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7508096"/>
        <c:crosses val="autoZero"/>
        <c:crossBetween val="midCat"/>
      </c:valAx>
      <c:valAx>
        <c:axId val="107508096"/>
        <c:scaling>
          <c:orientation val="minMax"/>
          <c:max val="1"/>
          <c:min val="0.5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7497728"/>
        <c:crosses val="autoZero"/>
        <c:crossBetween val="midCat"/>
      </c:valAx>
      <c:spPr>
        <a:solidFill>
          <a:sysClr val="window" lastClr="FFFFFF">
            <a:alpha val="46000"/>
          </a:sysClr>
        </a:solidFill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4591891430666173"/>
          <c:y val="9.4804097490743727E-2"/>
          <c:w val="0.15205923247454894"/>
          <c:h val="0.1017166666666666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239735224109E-2"/>
          <c:y val="3.1626497654105981E-2"/>
          <c:w val="0.91905469103118764"/>
          <c:h val="0.87575885488541139"/>
        </c:manualLayout>
      </c:layout>
      <c:scatterChart>
        <c:scatterStyle val="smoothMarker"/>
        <c:varyColors val="0"/>
        <c:ser>
          <c:idx val="1"/>
          <c:order val="0"/>
          <c:tx>
            <c:v>u z,rd,sup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cirkel!$J$25:$J$30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65</c:v>
                </c:pt>
                <c:pt idx="4">
                  <c:v>10.185916363035853</c:v>
                </c:pt>
                <c:pt idx="5">
                  <c:v>29.284509543728078</c:v>
                </c:pt>
              </c:numCache>
            </c:numRef>
          </c:xVal>
          <c:yVal>
            <c:numRef>
              <c:f>cirkel!$N$25:$N$30</c:f>
              <c:numCache>
                <c:formatCode>General</c:formatCode>
                <c:ptCount val="6"/>
                <c:pt idx="0">
                  <c:v>0.1</c:v>
                </c:pt>
                <c:pt idx="1">
                  <c:v>0.11664428571428573</c:v>
                </c:pt>
                <c:pt idx="2">
                  <c:v>0.59932857142857143</c:v>
                </c:pt>
                <c:pt idx="3">
                  <c:v>1.1818785714285716</c:v>
                </c:pt>
                <c:pt idx="4">
                  <c:v>0.26953730220818672</c:v>
                </c:pt>
                <c:pt idx="5">
                  <c:v>0.58741974384853679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E3-48EE-8978-91C1CD8F13FF}"/>
            </c:ext>
          </c:extLst>
        </c:ser>
        <c:ser>
          <c:idx val="0"/>
          <c:order val="1"/>
          <c:tx>
            <c:strRef>
              <c:f>cirkel!$L$49</c:f>
              <c:strCache>
                <c:ptCount val="1"/>
                <c:pt idx="0">
                  <c:v>u z,rd,inf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cirkel!$J$25:$J$30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30</c:v>
                </c:pt>
                <c:pt idx="3">
                  <c:v>65</c:v>
                </c:pt>
                <c:pt idx="4">
                  <c:v>10.185916363035853</c:v>
                </c:pt>
                <c:pt idx="5">
                  <c:v>29.284509543728078</c:v>
                </c:pt>
              </c:numCache>
            </c:numRef>
          </c:xVal>
          <c:yVal>
            <c:numRef>
              <c:f>cirkel!$M$25:$M$30</c:f>
              <c:numCache>
                <c:formatCode>General</c:formatCode>
                <c:ptCount val="6"/>
                <c:pt idx="0">
                  <c:v>0.1</c:v>
                </c:pt>
                <c:pt idx="1">
                  <c:v>0.11370705882352941</c:v>
                </c:pt>
                <c:pt idx="2">
                  <c:v>0.51121176470588237</c:v>
                </c:pt>
                <c:pt idx="3">
                  <c:v>0.99095882352941178</c:v>
                </c:pt>
                <c:pt idx="4">
                  <c:v>0.2396189547596832</c:v>
                </c:pt>
                <c:pt idx="5">
                  <c:v>0.50140449493408923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E3-48EE-8978-91C1CD8F13FF}"/>
            </c:ext>
          </c:extLst>
        </c:ser>
        <c:ser>
          <c:idx val="3"/>
          <c:order val="2"/>
          <c:spPr>
            <a:ln>
              <a:solidFill>
                <a:schemeClr val="tx1"/>
              </a:solidFill>
              <a:tailEnd type="triangle" w="med" len="lg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4.5007046187082941E-2"/>
                  <c:y val="-5.51098918810170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E3-48EE-8978-91C1CD8F13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E3-48EE-8978-91C1CD8F13FF}"/>
                </c:ext>
              </c:extLst>
            </c:dLbl>
            <c:numFmt formatCode="0.000&quot;mm&quot;" sourceLinked="0"/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cirkel!$J$32:$J$33</c:f>
              <c:numCache>
                <c:formatCode>General</c:formatCode>
                <c:ptCount val="2"/>
                <c:pt idx="0">
                  <c:v>10.185916363035853</c:v>
                </c:pt>
                <c:pt idx="1">
                  <c:v>0</c:v>
                </c:pt>
              </c:numCache>
            </c:numRef>
          </c:xVal>
          <c:yVal>
            <c:numRef>
              <c:f>cirkel!$M$32:$M$33</c:f>
              <c:numCache>
                <c:formatCode>0.00%</c:formatCode>
                <c:ptCount val="2"/>
                <c:pt idx="0">
                  <c:v>0.2396189547596832</c:v>
                </c:pt>
                <c:pt idx="1">
                  <c:v>0.2396189547596832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2E3-48EE-8978-91C1CD8F13FF}"/>
            </c:ext>
          </c:extLst>
        </c:ser>
        <c:ser>
          <c:idx val="2"/>
          <c:order val="3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20088576950863138"/>
                  <c:y val="9.23240746195495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E3-48EE-8978-91C1CD8F13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E3-48EE-8978-91C1CD8F13FF}"/>
                </c:ext>
              </c:extLst>
            </c:dLbl>
            <c:numFmt formatCode="0.000&quot;mm&quot;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50"/>
                </a:pPr>
                <a:endParaRPr lang="nl-NL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cirkel!$J$34:$J$35</c:f>
              <c:numCache>
                <c:formatCode>General</c:formatCode>
                <c:ptCount val="2"/>
                <c:pt idx="0">
                  <c:v>29.284509543728078</c:v>
                </c:pt>
                <c:pt idx="1">
                  <c:v>0</c:v>
                </c:pt>
              </c:numCache>
            </c:numRef>
          </c:xVal>
          <c:yVal>
            <c:numRef>
              <c:f>cirkel!$N$34:$N$35</c:f>
              <c:numCache>
                <c:formatCode>0.00%</c:formatCode>
                <c:ptCount val="2"/>
                <c:pt idx="0">
                  <c:v>0.58741974384853679</c:v>
                </c:pt>
                <c:pt idx="1">
                  <c:v>0.58741974384853679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2E3-48EE-8978-91C1CD8F13FF}"/>
            </c:ext>
          </c:extLst>
        </c:ser>
        <c:ser>
          <c:idx val="4"/>
          <c:order val="4"/>
          <c:tx>
            <c:strRef>
              <c:f>cirkel!$K$55</c:f>
              <c:strCache>
                <c:ptCount val="1"/>
                <c:pt idx="0">
                  <c:v>Toelaatbare gemiddelde druk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cirkel!$K$56:$K$57</c:f>
              <c:numCache>
                <c:formatCode>General</c:formatCod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cirkel!$L$56:$L$57</c:f>
              <c:numCache>
                <c:formatCode>General</c:formatCode>
                <c:ptCount val="2"/>
                <c:pt idx="0">
                  <c:v>0</c:v>
                </c:pt>
                <c:pt idx="1">
                  <c:v>1.1818785714285716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2E3-48EE-8978-91C1CD8F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70272"/>
        <c:axId val="108472192"/>
      </c:scatterChart>
      <c:valAx>
        <c:axId val="108470272"/>
        <c:scaling>
          <c:orientation val="minMax"/>
          <c:max val="60"/>
          <c:min val="0"/>
        </c:scaling>
        <c:delete val="0"/>
        <c:axPos val="b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spanning [N/mm²]</a:t>
                </a:r>
              </a:p>
            </c:rich>
          </c:tx>
          <c:layout>
            <c:manualLayout>
              <c:xMode val="edge"/>
              <c:yMode val="edge"/>
              <c:x val="0.79489345394139033"/>
              <c:y val="0.8487665854875802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8472192"/>
        <c:crosses val="autoZero"/>
        <c:crossBetween val="midCat"/>
      </c:valAx>
      <c:valAx>
        <c:axId val="10847219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50000"/>
                </a:sysClr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Indrukking</a:t>
                </a:r>
              </a:p>
            </c:rich>
          </c:tx>
          <c:layout>
            <c:manualLayout>
              <c:xMode val="edge"/>
              <c:yMode val="edge"/>
              <c:x val="6.5603409311035074E-2"/>
              <c:y val="4.7085955259776713E-2"/>
            </c:manualLayout>
          </c:layout>
          <c:overlay val="0"/>
          <c:spPr>
            <a:solidFill>
              <a:sysClr val="window" lastClr="FFFFFF"/>
            </a:solidFill>
          </c:spPr>
        </c:title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10847027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691250726415706"/>
          <c:y val="5.0443997847549715E-2"/>
          <c:w val="0.28747959412285107"/>
          <c:h val="0.19500148255526636"/>
        </c:manualLayout>
      </c:layout>
      <c:overlay val="0"/>
      <c:spPr>
        <a:solidFill>
          <a:sysClr val="window" lastClr="FFFFFF">
            <a:alpha val="68000"/>
          </a:sysClr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3605" r="0.39370078740157488" t="0.8267716535433100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57150</xdr:rowOff>
    </xdr:from>
    <xdr:to>
      <xdr:col>7</xdr:col>
      <xdr:colOff>721275</xdr:colOff>
      <xdr:row>28</xdr:row>
      <xdr:rowOff>183450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176175</xdr:colOff>
      <xdr:row>28</xdr:row>
      <xdr:rowOff>200025</xdr:rowOff>
    </xdr:from>
    <xdr:to>
      <xdr:col>7</xdr:col>
      <xdr:colOff>735525</xdr:colOff>
      <xdr:row>43</xdr:row>
      <xdr:rowOff>116775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51</xdr:row>
      <xdr:rowOff>123825</xdr:rowOff>
    </xdr:from>
    <xdr:to>
      <xdr:col>7</xdr:col>
      <xdr:colOff>721275</xdr:colOff>
      <xdr:row>73</xdr:row>
      <xdr:rowOff>66675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9525</xdr:rowOff>
        </xdr:from>
        <xdr:to>
          <xdr:col>4</xdr:col>
          <xdr:colOff>1114425</xdr:colOff>
          <xdr:row>13</xdr:row>
          <xdr:rowOff>200025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48</xdr:row>
          <xdr:rowOff>0</xdr:rowOff>
        </xdr:from>
        <xdr:to>
          <xdr:col>4</xdr:col>
          <xdr:colOff>485775</xdr:colOff>
          <xdr:row>51</xdr:row>
          <xdr:rowOff>161925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14</xdr:row>
      <xdr:rowOff>57150</xdr:rowOff>
    </xdr:from>
    <xdr:to>
      <xdr:col>7</xdr:col>
      <xdr:colOff>721275</xdr:colOff>
      <xdr:row>28</xdr:row>
      <xdr:rowOff>183450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176175</xdr:colOff>
      <xdr:row>28</xdr:row>
      <xdr:rowOff>200025</xdr:rowOff>
    </xdr:from>
    <xdr:to>
      <xdr:col>7</xdr:col>
      <xdr:colOff>735525</xdr:colOff>
      <xdr:row>43</xdr:row>
      <xdr:rowOff>116775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51</xdr:row>
      <xdr:rowOff>123825</xdr:rowOff>
    </xdr:from>
    <xdr:to>
      <xdr:col>7</xdr:col>
      <xdr:colOff>721275</xdr:colOff>
      <xdr:row>73</xdr:row>
      <xdr:rowOff>66675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12</xdr:row>
          <xdr:rowOff>9525</xdr:rowOff>
        </xdr:from>
        <xdr:to>
          <xdr:col>4</xdr:col>
          <xdr:colOff>1114425</xdr:colOff>
          <xdr:row>13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48</xdr:row>
          <xdr:rowOff>0</xdr:rowOff>
        </xdr:from>
        <xdr:to>
          <xdr:col>4</xdr:col>
          <xdr:colOff>485775</xdr:colOff>
          <xdr:row>51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0.27242</cdr:x>
      <cdr:y>0.08716</cdr:y>
    </cdr:from>
    <cdr:to>
      <cdr:x>0.64489</cdr:x>
      <cdr:y>0.20855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685905" y="266710"/>
          <a:ext cx="2305070" cy="3714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de-DE" sz="1100" b="1">
              <a:sym typeface="Symbol"/>
            </a:rPr>
            <a:t></a:t>
          </a:r>
          <a:r>
            <a:rPr lang="de-DE" sz="1100" b="1" baseline="-25000">
              <a:sym typeface="Symbol"/>
            </a:rPr>
            <a:t>1 </a:t>
          </a:r>
          <a:r>
            <a:rPr lang="de-DE">
              <a:effectLst/>
            </a:rPr>
            <a:t>bij</a:t>
          </a:r>
          <a:r>
            <a:rPr lang="de-DE" baseline="0">
              <a:effectLst/>
            </a:rPr>
            <a:t> </a:t>
          </a:r>
          <a:r>
            <a:rPr lang="nl-NL"/>
            <a:t>circulaire </a:t>
          </a:r>
          <a:r>
            <a:rPr lang="de-DE" b="0"/>
            <a:t>opleggingen</a:t>
          </a:r>
          <a:r>
            <a:rPr lang="de-DE" sz="1100" baseline="0">
              <a:sym typeface="Symbol"/>
            </a:rPr>
            <a:t> </a:t>
          </a:r>
          <a:r>
            <a:rPr lang="nl-NL"/>
            <a:t>altijd</a:t>
          </a:r>
          <a:r>
            <a:rPr lang="de-DE" sz="1100" baseline="0">
              <a:sym typeface="Symbol"/>
            </a:rPr>
            <a:t>= 1</a:t>
          </a:r>
          <a:endParaRPr lang="de-DE" sz="1100" baseline="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C101"/>
  <sheetViews>
    <sheetView tabSelected="1" topLeftCell="A12" zoomScaleNormal="100" workbookViewId="0">
      <selection activeCell="C1" sqref="C1:G1"/>
    </sheetView>
  </sheetViews>
  <sheetFormatPr defaultColWidth="11.42578125" defaultRowHeight="16.5" x14ac:dyDescent="0.3"/>
  <cols>
    <col min="1" max="1" width="11.85546875" style="1" customWidth="1"/>
    <col min="2" max="4" width="11.140625" style="1" customWidth="1"/>
    <col min="5" max="5" width="16.85546875" style="1" customWidth="1"/>
    <col min="6" max="8" width="11.140625" style="1" customWidth="1"/>
    <col min="9" max="12" width="11.42578125" style="1"/>
    <col min="13" max="13" width="33.140625" style="1" customWidth="1"/>
    <col min="14" max="14" width="11.42578125" style="1"/>
    <col min="15" max="15" width="11.85546875" style="1" bestFit="1" customWidth="1"/>
    <col min="16" max="16384" width="11.42578125" style="1"/>
  </cols>
  <sheetData>
    <row r="1" spans="1:29" x14ac:dyDescent="0.3">
      <c r="A1" s="106" t="s">
        <v>65</v>
      </c>
      <c r="B1" s="107"/>
      <c r="C1" s="123" t="s">
        <v>66</v>
      </c>
      <c r="D1" s="124"/>
      <c r="E1" s="124"/>
      <c r="F1" s="124"/>
      <c r="G1" s="124"/>
      <c r="H1" s="57" t="s">
        <v>62</v>
      </c>
      <c r="I1" s="118" t="s">
        <v>91</v>
      </c>
      <c r="J1" s="119"/>
      <c r="K1" s="119"/>
      <c r="L1" s="119"/>
      <c r="M1" s="11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9" x14ac:dyDescent="0.3">
      <c r="A2" s="108" t="s">
        <v>67</v>
      </c>
      <c r="B2" s="109"/>
      <c r="C2" s="125" t="s">
        <v>68</v>
      </c>
      <c r="D2" s="126"/>
      <c r="E2" s="126"/>
      <c r="F2" s="126"/>
      <c r="G2" s="126"/>
      <c r="H2" s="47">
        <f ca="1">TODAY()</f>
        <v>45166</v>
      </c>
      <c r="I2" s="48" t="s">
        <v>8</v>
      </c>
      <c r="J2" s="49">
        <f>B8</f>
        <v>160</v>
      </c>
      <c r="K2" s="50"/>
      <c r="L2" s="49" t="s">
        <v>49</v>
      </c>
      <c r="M2" s="51">
        <f>ROUND((0.5*(M3^2+M4^2))^-0.5,4)</f>
        <v>1.4902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2"/>
      <c r="AA2" s="2"/>
    </row>
    <row r="3" spans="1:29" x14ac:dyDescent="0.3">
      <c r="A3" s="110" t="s">
        <v>69</v>
      </c>
      <c r="B3" s="111"/>
      <c r="C3" s="127">
        <v>1</v>
      </c>
      <c r="D3" s="127"/>
      <c r="E3" s="20" t="s">
        <v>47</v>
      </c>
      <c r="F3" s="98" t="str">
        <f>B8&amp;"x" &amp;B9&amp;"x"&amp;B10&amp;" mm"</f>
        <v>160x250x10 mm</v>
      </c>
      <c r="G3" s="98"/>
      <c r="H3" s="46" t="s">
        <v>64</v>
      </c>
      <c r="I3" s="48" t="s">
        <v>9</v>
      </c>
      <c r="J3" s="49">
        <f>B9</f>
        <v>250</v>
      </c>
      <c r="K3" s="50"/>
      <c r="L3" s="49" t="s">
        <v>50</v>
      </c>
      <c r="M3" s="51">
        <f>IF(J8&gt;=0.75571,1.2280488*J8-0.2280488,0.7)</f>
        <v>0.7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2"/>
      <c r="AA3" s="2"/>
    </row>
    <row r="4" spans="1:29" x14ac:dyDescent="0.3">
      <c r="A4" s="120" t="s">
        <v>70</v>
      </c>
      <c r="B4" s="121"/>
      <c r="C4" s="122"/>
      <c r="D4" s="120" t="s">
        <v>71</v>
      </c>
      <c r="E4" s="121"/>
      <c r="F4" s="121" t="s">
        <v>72</v>
      </c>
      <c r="G4" s="121"/>
      <c r="H4" s="12"/>
      <c r="I4" s="48" t="s">
        <v>10</v>
      </c>
      <c r="J4" s="49">
        <f>B10</f>
        <v>10</v>
      </c>
      <c r="K4" s="50"/>
      <c r="L4" s="49" t="s">
        <v>51</v>
      </c>
      <c r="M4" s="52">
        <f>IF(J5&lt;=0.9301988,-0.974*J5+1.60645,IF(J5&lt;=1.0622922,-0.077*J5+0.77245,-0.013*J5+0.70418))</f>
        <v>0.64076536585365851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</row>
    <row r="5" spans="1:29" x14ac:dyDescent="0.3">
      <c r="A5" s="6" t="s">
        <v>19</v>
      </c>
      <c r="B5" s="7">
        <v>360</v>
      </c>
      <c r="C5" s="4" t="s">
        <v>12</v>
      </c>
      <c r="D5" s="5">
        <f>ROUND(B5*1000/B13,2)</f>
        <v>9.31</v>
      </c>
      <c r="E5" s="1" t="s">
        <v>7</v>
      </c>
      <c r="F5" s="1">
        <f>ROUND(M29,3)</f>
        <v>0.182</v>
      </c>
      <c r="G5" s="1" t="s">
        <v>0</v>
      </c>
      <c r="H5" s="64">
        <f>IF(OR(D5&gt;30,D6&gt;30),"Pressung beachten",1)</f>
        <v>1</v>
      </c>
      <c r="I5" s="48" t="s">
        <v>2</v>
      </c>
      <c r="J5" s="53">
        <f>J2*J3/(2*J4*(J2+J3))</f>
        <v>4.8780487804878048</v>
      </c>
      <c r="K5" s="50"/>
      <c r="L5" s="49" t="s">
        <v>52</v>
      </c>
      <c r="M5" s="49">
        <f>B5*1000/$M$7</f>
        <v>9.308897830713752</v>
      </c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</row>
    <row r="6" spans="1:29" x14ac:dyDescent="0.3">
      <c r="A6" s="6" t="s">
        <v>20</v>
      </c>
      <c r="B6" s="7">
        <v>720</v>
      </c>
      <c r="C6" s="4" t="s">
        <v>12</v>
      </c>
      <c r="D6" s="5">
        <f>ROUND(B6*1000/B13,2)</f>
        <v>18.62</v>
      </c>
      <c r="E6" s="1" t="s">
        <v>7</v>
      </c>
      <c r="F6" s="1">
        <f>ROUND(N30,3)</f>
        <v>0.29799999999999999</v>
      </c>
      <c r="G6" s="1" t="s">
        <v>0</v>
      </c>
      <c r="H6" s="65"/>
      <c r="I6" s="48" t="s">
        <v>4</v>
      </c>
      <c r="J6" s="49">
        <v>1400</v>
      </c>
      <c r="K6" s="50"/>
      <c r="L6" s="49" t="s">
        <v>53</v>
      </c>
      <c r="M6" s="49">
        <f>B6*1000/$M$7</f>
        <v>18.617795661427504</v>
      </c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</row>
    <row r="7" spans="1:29" x14ac:dyDescent="0.3">
      <c r="A7" s="84" t="s">
        <v>81</v>
      </c>
      <c r="B7" s="101"/>
      <c r="C7" s="102"/>
      <c r="D7" s="86" t="s">
        <v>80</v>
      </c>
      <c r="E7" s="87"/>
      <c r="F7" s="87"/>
      <c r="G7" s="87"/>
      <c r="H7" s="88"/>
      <c r="I7" s="48" t="s">
        <v>3</v>
      </c>
      <c r="J7" s="49">
        <v>1700</v>
      </c>
      <c r="K7" s="50"/>
      <c r="L7" s="49" t="s">
        <v>54</v>
      </c>
      <c r="M7" s="49">
        <f>(B8*B9-PI()*B11^2/4*B12)</f>
        <v>38672.67710385831</v>
      </c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</row>
    <row r="8" spans="1:29" x14ac:dyDescent="0.3">
      <c r="A8" s="58" t="s">
        <v>73</v>
      </c>
      <c r="B8" s="7">
        <v>160</v>
      </c>
      <c r="C8" s="4" t="s">
        <v>0</v>
      </c>
      <c r="D8" s="6" t="s">
        <v>5</v>
      </c>
      <c r="E8" s="8">
        <f>J5</f>
        <v>4.8780487804878048</v>
      </c>
      <c r="F8" s="62" t="s">
        <v>79</v>
      </c>
      <c r="G8" s="9"/>
      <c r="H8" s="4"/>
      <c r="I8" s="48" t="s">
        <v>11</v>
      </c>
      <c r="J8" s="49">
        <f>MIN(J2:J3)/MAX(J2:J3)</f>
        <v>0.64</v>
      </c>
      <c r="K8" s="50"/>
      <c r="L8" s="55">
        <f>ROUNDDOWN(B8*B9/B11^2/PI()*4,0)</f>
        <v>301</v>
      </c>
      <c r="M8" s="54" t="s">
        <v>92</v>
      </c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3"/>
      <c r="AC8" s="3"/>
    </row>
    <row r="9" spans="1:29" ht="19.5" x14ac:dyDescent="0.4">
      <c r="A9" s="58" t="s">
        <v>74</v>
      </c>
      <c r="B9" s="7">
        <v>250</v>
      </c>
      <c r="C9" s="4" t="s">
        <v>0</v>
      </c>
      <c r="D9" s="6" t="s">
        <v>59</v>
      </c>
      <c r="E9" s="10">
        <f>J7</f>
        <v>1700</v>
      </c>
      <c r="F9" s="100" t="s">
        <v>7</v>
      </c>
      <c r="G9" s="100"/>
      <c r="H9" s="4"/>
      <c r="I9" s="54"/>
      <c r="K9" s="54"/>
      <c r="N9" s="54"/>
      <c r="O9" s="54"/>
      <c r="P9" s="2"/>
      <c r="Q9" s="2"/>
      <c r="R9" s="2"/>
      <c r="S9" s="2"/>
      <c r="T9" s="2"/>
      <c r="U9" s="2"/>
      <c r="V9" s="2"/>
      <c r="W9" s="45"/>
      <c r="X9" s="3"/>
      <c r="Y9" s="3"/>
      <c r="Z9" s="3"/>
      <c r="AA9" s="3"/>
      <c r="AB9" s="3"/>
      <c r="AC9" s="3"/>
    </row>
    <row r="10" spans="1:29" ht="19.5" x14ac:dyDescent="0.4">
      <c r="A10" s="60" t="s">
        <v>75</v>
      </c>
      <c r="B10" s="7">
        <v>10</v>
      </c>
      <c r="C10" s="4" t="s">
        <v>0</v>
      </c>
      <c r="D10" s="6" t="s">
        <v>60</v>
      </c>
      <c r="E10" s="10">
        <f>J6</f>
        <v>1400</v>
      </c>
      <c r="F10" s="100" t="s">
        <v>7</v>
      </c>
      <c r="G10" s="100"/>
      <c r="H10" s="4"/>
      <c r="I10" s="115" t="s">
        <v>11</v>
      </c>
      <c r="J10" s="115"/>
      <c r="K10" s="2" t="s">
        <v>15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5"/>
      <c r="X10" s="2"/>
      <c r="Y10" s="3"/>
      <c r="Z10" s="3"/>
      <c r="AA10" s="3"/>
      <c r="AB10" s="3"/>
      <c r="AC10" s="3"/>
    </row>
    <row r="11" spans="1:29" x14ac:dyDescent="0.3">
      <c r="A11" s="60" t="s">
        <v>76</v>
      </c>
      <c r="B11" s="7">
        <v>13</v>
      </c>
      <c r="C11" s="4" t="s">
        <v>0</v>
      </c>
      <c r="D11" s="34" t="s">
        <v>13</v>
      </c>
      <c r="E11" s="8">
        <f>M3</f>
        <v>0.7</v>
      </c>
      <c r="H11" s="4"/>
      <c r="I11" s="2">
        <v>0.1</v>
      </c>
      <c r="J11" s="2">
        <v>0.7</v>
      </c>
      <c r="K11" s="2">
        <f>J8</f>
        <v>0.64</v>
      </c>
      <c r="L11" s="2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45"/>
      <c r="X11" s="2"/>
      <c r="Y11" s="3"/>
      <c r="Z11" s="3"/>
      <c r="AA11" s="3"/>
      <c r="AB11" s="3"/>
      <c r="AC11" s="3"/>
    </row>
    <row r="12" spans="1:29" x14ac:dyDescent="0.3">
      <c r="A12" s="58" t="s">
        <v>69</v>
      </c>
      <c r="B12" s="7">
        <v>10</v>
      </c>
      <c r="C12" s="56" t="s">
        <v>63</v>
      </c>
      <c r="D12" s="34" t="s">
        <v>14</v>
      </c>
      <c r="E12" s="8">
        <f>M4</f>
        <v>0.64076536585365851</v>
      </c>
      <c r="H12" s="4"/>
      <c r="I12" s="2">
        <v>0.33621262458471762</v>
      </c>
      <c r="J12" s="2">
        <v>0.7</v>
      </c>
      <c r="K12" s="2">
        <f>K11</f>
        <v>0.64</v>
      </c>
      <c r="L12" s="2">
        <f>M3</f>
        <v>0.7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45"/>
      <c r="X12" s="2"/>
      <c r="Y12" s="3"/>
      <c r="Z12" s="3"/>
      <c r="AA12" s="3"/>
      <c r="AB12" s="3"/>
      <c r="AC12" s="3"/>
    </row>
    <row r="13" spans="1:29" x14ac:dyDescent="0.3">
      <c r="A13" s="58" t="s">
        <v>77</v>
      </c>
      <c r="B13" s="10">
        <f>ROUND(B8*B9-PI()*B11^2/4*B12,0)</f>
        <v>38673</v>
      </c>
      <c r="C13" s="4" t="s">
        <v>16</v>
      </c>
      <c r="D13" s="5"/>
      <c r="F13" s="81">
        <f>ROUND(M2,3)</f>
        <v>1.49</v>
      </c>
      <c r="H13" s="4"/>
      <c r="I13" s="2">
        <v>0.75571002979145974</v>
      </c>
      <c r="J13" s="2">
        <v>0.7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5"/>
      <c r="X13" s="2"/>
      <c r="Y13" s="3"/>
      <c r="Z13" s="3"/>
      <c r="AA13" s="3"/>
      <c r="AB13" s="3"/>
      <c r="AC13" s="3"/>
    </row>
    <row r="14" spans="1:29" x14ac:dyDescent="0.3">
      <c r="A14" s="17" t="s">
        <v>48</v>
      </c>
      <c r="B14" s="18">
        <f>ROUND(1.411*B13*B10/1000000,3)</f>
        <v>0.54600000000000004</v>
      </c>
      <c r="C14" s="59" t="s">
        <v>78</v>
      </c>
      <c r="D14" s="33"/>
      <c r="E14" s="20"/>
      <c r="F14" s="82"/>
      <c r="G14" s="20"/>
      <c r="H14" s="32"/>
      <c r="I14" s="2">
        <v>1</v>
      </c>
      <c r="J14" s="2">
        <v>1</v>
      </c>
      <c r="K14" s="2"/>
      <c r="L14" s="2"/>
      <c r="M14" s="2"/>
      <c r="N14" s="36"/>
      <c r="O14" s="2"/>
      <c r="P14" s="2"/>
      <c r="Q14" s="2"/>
      <c r="R14" s="2"/>
      <c r="S14" s="2"/>
      <c r="T14" s="2"/>
      <c r="U14" s="2"/>
      <c r="V14" s="2"/>
      <c r="W14" s="45"/>
      <c r="X14" s="2"/>
      <c r="Y14" s="3"/>
      <c r="Z14" s="3"/>
      <c r="AA14" s="3"/>
      <c r="AB14" s="3"/>
      <c r="AC14" s="3"/>
    </row>
    <row r="15" spans="1:29" x14ac:dyDescent="0.3">
      <c r="A15" s="5"/>
      <c r="H15" s="4"/>
      <c r="I15" s="116" t="s">
        <v>6</v>
      </c>
      <c r="J15" s="115"/>
      <c r="K15" s="37">
        <f>J5</f>
        <v>4.8780487804878048</v>
      </c>
      <c r="L15" s="2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45"/>
      <c r="X15" s="2"/>
      <c r="Y15" s="3"/>
      <c r="Z15" s="3"/>
      <c r="AA15" s="3"/>
      <c r="AB15" s="3"/>
      <c r="AC15" s="3"/>
    </row>
    <row r="16" spans="1:29" x14ac:dyDescent="0.3">
      <c r="A16" s="5"/>
      <c r="H16" s="4"/>
      <c r="I16" s="2">
        <v>0.62279964169410285</v>
      </c>
      <c r="J16" s="2">
        <v>1</v>
      </c>
      <c r="K16" s="2">
        <f>K15</f>
        <v>4.8780487804878048</v>
      </c>
      <c r="L16" s="2">
        <f>M4</f>
        <v>0.64076536585365851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45"/>
      <c r="X16" s="2"/>
      <c r="Y16" s="3"/>
      <c r="Z16" s="3"/>
      <c r="AA16" s="3"/>
      <c r="AB16" s="3"/>
      <c r="AC16" s="3"/>
    </row>
    <row r="17" spans="1:29" x14ac:dyDescent="0.3">
      <c r="A17" s="5"/>
      <c r="H17" s="4"/>
      <c r="I17" s="2">
        <v>0.93019880855026704</v>
      </c>
      <c r="J17" s="2">
        <v>0.70067236416609879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5"/>
      <c r="X17" s="2"/>
      <c r="Y17" s="3"/>
      <c r="Z17" s="3"/>
      <c r="AA17" s="3"/>
      <c r="AB17" s="3"/>
      <c r="AC17" s="3"/>
    </row>
    <row r="18" spans="1:29" x14ac:dyDescent="0.3">
      <c r="A18" s="5"/>
      <c r="H18" s="4"/>
      <c r="I18" s="2">
        <v>1.0622922106919563</v>
      </c>
      <c r="J18" s="2">
        <v>0.69047930211862019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5"/>
      <c r="X18" s="2"/>
      <c r="Y18" s="3"/>
      <c r="Z18" s="3"/>
      <c r="AA18" s="3"/>
      <c r="AB18" s="3"/>
      <c r="AC18" s="3"/>
    </row>
    <row r="19" spans="1:29" x14ac:dyDescent="0.3">
      <c r="A19" s="5"/>
      <c r="H19" s="4"/>
      <c r="I19" s="2">
        <v>5</v>
      </c>
      <c r="J19" s="2">
        <v>0.63970305596240395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5"/>
      <c r="X19" s="2"/>
      <c r="Y19" s="3"/>
      <c r="Z19" s="3"/>
      <c r="AA19" s="3"/>
      <c r="AB19" s="3"/>
      <c r="AC19" s="3"/>
    </row>
    <row r="20" spans="1:29" x14ac:dyDescent="0.3">
      <c r="A20" s="5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5"/>
      <c r="X20" s="2"/>
      <c r="Y20" s="3"/>
      <c r="Z20" s="3"/>
      <c r="AA20" s="3"/>
      <c r="AB20" s="3"/>
      <c r="AC20" s="3"/>
    </row>
    <row r="21" spans="1:29" x14ac:dyDescent="0.3">
      <c r="A21" s="5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5"/>
      <c r="X21" s="2"/>
      <c r="Y21" s="3"/>
      <c r="Z21" s="3"/>
      <c r="AA21" s="3"/>
      <c r="AB21" s="3"/>
      <c r="AC21" s="3"/>
    </row>
    <row r="22" spans="1:29" x14ac:dyDescent="0.3">
      <c r="A22" s="5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5"/>
      <c r="X22" s="2"/>
      <c r="Y22" s="3"/>
      <c r="Z22" s="3"/>
      <c r="AA22" s="3"/>
      <c r="AB22" s="3"/>
      <c r="AC22" s="3"/>
    </row>
    <row r="23" spans="1:29" x14ac:dyDescent="0.3">
      <c r="A23" s="5"/>
      <c r="H23" s="4"/>
      <c r="I23" s="115"/>
      <c r="J23" s="115"/>
      <c r="K23" s="115"/>
      <c r="L23" s="115"/>
      <c r="M23" s="115"/>
      <c r="N23" s="115"/>
      <c r="O23" s="2"/>
      <c r="P23" s="2"/>
      <c r="Q23" s="2"/>
      <c r="R23" s="2"/>
      <c r="S23" s="2"/>
      <c r="T23" s="2"/>
      <c r="U23" s="2"/>
      <c r="V23" s="2"/>
      <c r="W23" s="45"/>
      <c r="X23" s="2"/>
      <c r="Y23" s="3"/>
      <c r="Z23" s="3"/>
      <c r="AA23" s="3"/>
      <c r="AB23" s="3"/>
      <c r="AC23" s="3"/>
    </row>
    <row r="24" spans="1:29" x14ac:dyDescent="0.3">
      <c r="A24" s="5"/>
      <c r="H24" s="4"/>
      <c r="I24" s="2"/>
      <c r="J24" s="2" t="s">
        <v>7</v>
      </c>
      <c r="K24" s="2" t="s">
        <v>21</v>
      </c>
      <c r="L24" s="2" t="s">
        <v>22</v>
      </c>
      <c r="M24" s="2" t="s">
        <v>17</v>
      </c>
      <c r="N24" s="2" t="s">
        <v>18</v>
      </c>
      <c r="O24" s="2"/>
      <c r="P24" s="2"/>
      <c r="Q24" s="2"/>
      <c r="R24" s="2"/>
      <c r="S24" s="2"/>
      <c r="T24" s="2"/>
      <c r="U24" s="2"/>
      <c r="V24" s="2"/>
      <c r="W24" s="45"/>
      <c r="X24" s="2"/>
      <c r="Y24" s="3"/>
      <c r="Z24" s="3"/>
      <c r="AA24" s="3"/>
      <c r="AB24" s="3"/>
      <c r="AC24" s="3"/>
    </row>
    <row r="25" spans="1:29" x14ac:dyDescent="0.3">
      <c r="A25" s="5"/>
      <c r="H25" s="4"/>
      <c r="I25" s="2"/>
      <c r="J25" s="2">
        <v>0</v>
      </c>
      <c r="K25" s="38">
        <f>$M$2*J25/$J$6</f>
        <v>0</v>
      </c>
      <c r="L25" s="38">
        <f>$M$2*J25/$J$7</f>
        <v>0</v>
      </c>
      <c r="M25" s="2">
        <f>L25*$J$4+0.1</f>
        <v>0.1</v>
      </c>
      <c r="N25" s="2">
        <f>K25*$J$4+0.1</f>
        <v>0.1</v>
      </c>
      <c r="O25" s="2"/>
      <c r="P25" s="2"/>
      <c r="Q25" s="2"/>
      <c r="R25" s="2"/>
      <c r="S25" s="2"/>
      <c r="T25" s="2"/>
      <c r="U25" s="2"/>
      <c r="V25" s="2"/>
      <c r="W25" s="45"/>
      <c r="X25" s="2"/>
      <c r="Y25" s="3"/>
      <c r="Z25" s="3"/>
      <c r="AA25" s="3"/>
      <c r="AB25" s="3"/>
      <c r="AC25" s="3"/>
    </row>
    <row r="26" spans="1:29" x14ac:dyDescent="0.3">
      <c r="A26" s="5"/>
      <c r="H26" s="4"/>
      <c r="I26" s="2"/>
      <c r="J26" s="2">
        <v>1</v>
      </c>
      <c r="K26" s="38">
        <f t="shared" ref="K26:K30" si="0">$M$2*J26/$J$6</f>
        <v>1.0644285714285714E-3</v>
      </c>
      <c r="L26" s="38">
        <f t="shared" ref="L26:L30" si="1">$M$2*J26/$J$7</f>
        <v>8.7658823529411761E-4</v>
      </c>
      <c r="M26" s="2">
        <f t="shared" ref="M26:M30" si="2">L26*$J$4+0.1</f>
        <v>0.10876588235294118</v>
      </c>
      <c r="N26" s="2">
        <f t="shared" ref="N26:N30" si="3">K26*$J$4+0.1</f>
        <v>0.11064428571428572</v>
      </c>
      <c r="O26" s="2"/>
      <c r="P26" s="2"/>
      <c r="Q26" s="2"/>
      <c r="R26" s="2"/>
      <c r="S26" s="2"/>
      <c r="T26" s="2"/>
      <c r="U26" s="2"/>
      <c r="V26" s="2"/>
      <c r="W26" s="45"/>
      <c r="X26" s="2"/>
      <c r="Y26" s="3"/>
      <c r="Z26" s="3"/>
      <c r="AA26" s="3"/>
      <c r="AB26" s="3"/>
      <c r="AC26" s="3"/>
    </row>
    <row r="27" spans="1:29" x14ac:dyDescent="0.3">
      <c r="A27" s="5"/>
      <c r="H27" s="4"/>
      <c r="I27" s="2"/>
      <c r="J27" s="2">
        <v>30</v>
      </c>
      <c r="K27" s="38">
        <f t="shared" si="0"/>
        <v>3.1932857142857138E-2</v>
      </c>
      <c r="L27" s="38">
        <f t="shared" si="1"/>
        <v>2.6297647058823526E-2</v>
      </c>
      <c r="M27" s="2">
        <f t="shared" si="2"/>
        <v>0.36297647058823523</v>
      </c>
      <c r="N27" s="2">
        <f t="shared" si="3"/>
        <v>0.41932857142857138</v>
      </c>
      <c r="O27" s="2"/>
      <c r="P27" s="2"/>
      <c r="Q27" s="2"/>
      <c r="R27" s="2"/>
      <c r="S27" s="2"/>
      <c r="T27" s="2"/>
      <c r="U27" s="2"/>
      <c r="V27" s="2"/>
      <c r="W27" s="45"/>
      <c r="X27" s="2"/>
      <c r="Y27" s="3"/>
      <c r="Z27" s="3"/>
      <c r="AA27" s="3"/>
      <c r="AB27" s="3"/>
      <c r="AC27" s="3"/>
    </row>
    <row r="28" spans="1:29" x14ac:dyDescent="0.3">
      <c r="A28" s="5"/>
      <c r="H28" s="4"/>
      <c r="I28" s="2"/>
      <c r="J28" s="2">
        <v>65</v>
      </c>
      <c r="K28" s="38">
        <f t="shared" si="0"/>
        <v>6.9187857142857148E-2</v>
      </c>
      <c r="L28" s="38">
        <f t="shared" si="1"/>
        <v>5.6978235294117649E-2</v>
      </c>
      <c r="M28" s="2">
        <f t="shared" si="2"/>
        <v>0.6697823529411765</v>
      </c>
      <c r="N28" s="2">
        <f t="shared" si="3"/>
        <v>0.79187857142857143</v>
      </c>
      <c r="O28" s="2"/>
      <c r="P28" s="2"/>
      <c r="Q28" s="2"/>
      <c r="R28" s="2"/>
      <c r="S28" s="2"/>
      <c r="T28" s="2"/>
      <c r="U28" s="2"/>
      <c r="V28" s="2"/>
      <c r="W28" s="45"/>
      <c r="X28" s="2"/>
      <c r="Y28" s="3"/>
      <c r="Z28" s="3"/>
      <c r="AA28" s="3"/>
      <c r="AB28" s="3"/>
      <c r="AC28" s="3"/>
    </row>
    <row r="29" spans="1:29" x14ac:dyDescent="0.3">
      <c r="A29" s="5"/>
      <c r="H29" s="4"/>
      <c r="I29" s="2"/>
      <c r="J29" s="2">
        <f>M5</f>
        <v>9.308897830713752</v>
      </c>
      <c r="K29" s="38">
        <f t="shared" si="0"/>
        <v>9.9086568195211663E-3</v>
      </c>
      <c r="L29" s="38">
        <f>$M$2*J29/$J$7</f>
        <v>8.1600703219586075E-3</v>
      </c>
      <c r="M29" s="2">
        <f t="shared" si="2"/>
        <v>0.18160070321958607</v>
      </c>
      <c r="N29" s="2">
        <f t="shared" si="3"/>
        <v>0.19908656819521167</v>
      </c>
      <c r="O29" s="39">
        <f>(($M$2*J29/$J$7)*J4)+0.1</f>
        <v>0.18160070321958607</v>
      </c>
      <c r="P29" s="2"/>
      <c r="Q29" s="2"/>
      <c r="R29" s="2"/>
      <c r="S29" s="2"/>
      <c r="T29" s="2"/>
      <c r="U29" s="2"/>
      <c r="V29" s="2"/>
      <c r="W29" s="45"/>
      <c r="X29" s="2"/>
      <c r="Y29" s="3"/>
      <c r="Z29" s="3"/>
      <c r="AA29" s="3"/>
      <c r="AB29" s="3"/>
      <c r="AC29" s="3"/>
    </row>
    <row r="30" spans="1:29" x14ac:dyDescent="0.3">
      <c r="A30" s="5"/>
      <c r="H30" s="4"/>
      <c r="I30" s="2"/>
      <c r="J30" s="2">
        <f>M6</f>
        <v>18.617795661427504</v>
      </c>
      <c r="K30" s="38">
        <f t="shared" si="0"/>
        <v>1.9817313639042333E-2</v>
      </c>
      <c r="L30" s="38">
        <f t="shared" si="1"/>
        <v>1.6320140643917215E-2</v>
      </c>
      <c r="M30" s="2">
        <f t="shared" si="2"/>
        <v>0.26320140643917211</v>
      </c>
      <c r="N30" s="2">
        <f t="shared" si="3"/>
        <v>0.29817313639042331</v>
      </c>
      <c r="O30" s="39">
        <f>(($M$2*J30/$J$6)*J4)+0.1</f>
        <v>0.29817313639042331</v>
      </c>
      <c r="P30" s="2"/>
      <c r="Q30" s="2"/>
      <c r="R30" s="2"/>
      <c r="S30" s="2"/>
      <c r="T30" s="2"/>
      <c r="U30" s="2"/>
      <c r="V30" s="2"/>
      <c r="W30" s="45"/>
      <c r="X30" s="2"/>
      <c r="Y30" s="3"/>
      <c r="Z30" s="3"/>
      <c r="AA30" s="3"/>
      <c r="AB30" s="3"/>
      <c r="AC30" s="3"/>
    </row>
    <row r="31" spans="1:29" x14ac:dyDescent="0.3">
      <c r="A31" s="5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5"/>
      <c r="X31" s="2"/>
      <c r="Y31" s="3"/>
      <c r="Z31" s="3"/>
      <c r="AA31" s="3"/>
      <c r="AB31" s="3"/>
      <c r="AC31" s="3"/>
    </row>
    <row r="32" spans="1:29" x14ac:dyDescent="0.3">
      <c r="A32" s="5"/>
      <c r="H32" s="4"/>
      <c r="I32" s="2"/>
      <c r="J32" s="2">
        <f>J29</f>
        <v>9.308897830713752</v>
      </c>
      <c r="K32" s="40">
        <f>K29</f>
        <v>9.9086568195211663E-3</v>
      </c>
      <c r="L32" s="40">
        <f t="shared" ref="L32:N32" si="4">L29</f>
        <v>8.1600703219586075E-3</v>
      </c>
      <c r="M32" s="40">
        <f t="shared" si="4"/>
        <v>0.18160070321958607</v>
      </c>
      <c r="N32" s="40">
        <f t="shared" si="4"/>
        <v>0.19908656819521167</v>
      </c>
      <c r="O32" s="2"/>
      <c r="P32" s="2"/>
      <c r="Q32" s="2"/>
      <c r="R32" s="2"/>
      <c r="S32" s="2"/>
      <c r="T32" s="2"/>
      <c r="U32" s="2"/>
      <c r="V32" s="2"/>
      <c r="W32" s="45"/>
      <c r="X32" s="2"/>
      <c r="Y32" s="3"/>
      <c r="Z32" s="3"/>
      <c r="AA32" s="3"/>
      <c r="AB32" s="3"/>
      <c r="AC32" s="3"/>
    </row>
    <row r="33" spans="1:29" x14ac:dyDescent="0.3">
      <c r="A33" s="5"/>
      <c r="H33" s="4"/>
      <c r="I33" s="2"/>
      <c r="J33" s="2">
        <v>0</v>
      </c>
      <c r="K33" s="40">
        <f>K32</f>
        <v>9.9086568195211663E-3</v>
      </c>
      <c r="L33" s="40">
        <f t="shared" ref="L33:N33" si="5">L32</f>
        <v>8.1600703219586075E-3</v>
      </c>
      <c r="M33" s="40">
        <f t="shared" si="5"/>
        <v>0.18160070321958607</v>
      </c>
      <c r="N33" s="40">
        <f t="shared" si="5"/>
        <v>0.19908656819521167</v>
      </c>
      <c r="O33" s="2"/>
      <c r="P33" s="2"/>
      <c r="Q33" s="2"/>
      <c r="R33" s="2"/>
      <c r="S33" s="2"/>
      <c r="T33" s="2"/>
      <c r="U33" s="2"/>
      <c r="V33" s="2"/>
      <c r="W33" s="45"/>
      <c r="X33" s="2"/>
      <c r="Y33" s="3"/>
      <c r="Z33" s="3"/>
      <c r="AA33" s="3"/>
      <c r="AB33" s="3"/>
      <c r="AC33" s="3"/>
    </row>
    <row r="34" spans="1:29" x14ac:dyDescent="0.3">
      <c r="A34" s="5"/>
      <c r="H34" s="4"/>
      <c r="I34" s="2"/>
      <c r="J34" s="2">
        <f>J30</f>
        <v>18.617795661427504</v>
      </c>
      <c r="K34" s="40">
        <f>K30</f>
        <v>1.9817313639042333E-2</v>
      </c>
      <c r="L34" s="40">
        <f>L30</f>
        <v>1.6320140643917215E-2</v>
      </c>
      <c r="M34" s="40">
        <f>M30</f>
        <v>0.26320140643917211</v>
      </c>
      <c r="N34" s="40">
        <f>N30</f>
        <v>0.29817313639042331</v>
      </c>
      <c r="O34" s="2"/>
      <c r="P34" s="2"/>
      <c r="Q34" s="2"/>
      <c r="R34" s="2"/>
      <c r="S34" s="2"/>
      <c r="T34" s="2"/>
      <c r="U34" s="2"/>
      <c r="V34" s="2"/>
      <c r="W34" s="45"/>
      <c r="X34" s="2"/>
      <c r="Y34" s="3"/>
      <c r="Z34" s="3"/>
      <c r="AA34" s="3"/>
      <c r="AB34" s="3"/>
      <c r="AC34" s="3"/>
    </row>
    <row r="35" spans="1:29" x14ac:dyDescent="0.3">
      <c r="A35" s="5"/>
      <c r="H35" s="4"/>
      <c r="I35" s="2"/>
      <c r="J35" s="2">
        <v>0</v>
      </c>
      <c r="K35" s="40">
        <f>K34</f>
        <v>1.9817313639042333E-2</v>
      </c>
      <c r="L35" s="40">
        <f t="shared" ref="L35" si="6">L34</f>
        <v>1.6320140643917215E-2</v>
      </c>
      <c r="M35" s="40">
        <f t="shared" ref="M35" si="7">M34</f>
        <v>0.26320140643917211</v>
      </c>
      <c r="N35" s="40">
        <f t="shared" ref="N35" si="8">N34</f>
        <v>0.29817313639042331</v>
      </c>
      <c r="O35" s="2"/>
      <c r="P35" s="2"/>
      <c r="Q35" s="2"/>
      <c r="R35" s="2"/>
      <c r="S35" s="2"/>
      <c r="T35" s="2"/>
      <c r="U35" s="2"/>
      <c r="V35" s="2"/>
      <c r="W35" s="45"/>
      <c r="X35" s="2"/>
      <c r="Y35" s="3"/>
      <c r="Z35" s="3"/>
      <c r="AA35" s="3"/>
      <c r="AB35" s="3"/>
      <c r="AC35" s="3"/>
    </row>
    <row r="36" spans="1:29" x14ac:dyDescent="0.3">
      <c r="A36" s="5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5"/>
      <c r="X36" s="2"/>
      <c r="Y36" s="3"/>
      <c r="Z36" s="3"/>
      <c r="AA36" s="3"/>
      <c r="AB36" s="3"/>
      <c r="AC36" s="3"/>
    </row>
    <row r="37" spans="1:29" x14ac:dyDescent="0.3">
      <c r="A37" s="5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5"/>
      <c r="X37" s="2"/>
      <c r="Y37" s="3"/>
      <c r="Z37" s="3"/>
      <c r="AA37" s="3"/>
      <c r="AB37" s="3"/>
      <c r="AC37" s="3"/>
    </row>
    <row r="38" spans="1:29" x14ac:dyDescent="0.3">
      <c r="A38" s="5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5"/>
      <c r="X38" s="2"/>
      <c r="Y38" s="3"/>
      <c r="Z38" s="3"/>
      <c r="AA38" s="3"/>
      <c r="AB38" s="3"/>
      <c r="AC38" s="3"/>
    </row>
    <row r="39" spans="1:29" x14ac:dyDescent="0.3">
      <c r="A39" s="5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5"/>
      <c r="X39" s="2"/>
      <c r="Y39" s="3"/>
      <c r="Z39" s="3"/>
      <c r="AA39" s="3"/>
      <c r="AB39" s="3"/>
      <c r="AC39" s="3"/>
    </row>
    <row r="40" spans="1:29" x14ac:dyDescent="0.3">
      <c r="A40" s="5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5"/>
      <c r="X40" s="2"/>
      <c r="Y40" s="3"/>
      <c r="Z40" s="3"/>
      <c r="AA40" s="3"/>
      <c r="AB40" s="3"/>
      <c r="AC40" s="3"/>
    </row>
    <row r="41" spans="1:29" x14ac:dyDescent="0.3">
      <c r="A41" s="5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5"/>
      <c r="X41" s="2"/>
      <c r="Y41" s="3"/>
      <c r="Z41" s="3"/>
      <c r="AA41" s="3"/>
      <c r="AB41" s="3"/>
      <c r="AC41" s="3"/>
    </row>
    <row r="42" spans="1:29" x14ac:dyDescent="0.3">
      <c r="A42" s="5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5"/>
      <c r="X42" s="2"/>
      <c r="Y42" s="3"/>
      <c r="Z42" s="3"/>
      <c r="AA42" s="3"/>
      <c r="AB42" s="3"/>
      <c r="AC42" s="3"/>
    </row>
    <row r="43" spans="1:29" x14ac:dyDescent="0.3">
      <c r="A43" s="5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5"/>
      <c r="X43" s="2"/>
      <c r="Y43" s="3"/>
      <c r="Z43" s="3"/>
      <c r="AA43" s="3"/>
      <c r="AB43" s="3"/>
      <c r="AC43" s="3"/>
    </row>
    <row r="44" spans="1:29" x14ac:dyDescent="0.3">
      <c r="A44" s="95"/>
      <c r="B44" s="85"/>
      <c r="C44" s="85"/>
      <c r="D44" s="85"/>
      <c r="E44" s="85"/>
      <c r="F44" s="85"/>
      <c r="G44" s="85"/>
      <c r="H44" s="9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5"/>
      <c r="X44" s="2"/>
      <c r="Y44" s="3"/>
      <c r="Z44" s="3"/>
      <c r="AA44" s="3"/>
      <c r="AB44" s="3"/>
      <c r="AC44" s="3"/>
    </row>
    <row r="45" spans="1:29" x14ac:dyDescent="0.3">
      <c r="A45" s="97"/>
      <c r="B45" s="98"/>
      <c r="C45" s="98"/>
      <c r="D45" s="98"/>
      <c r="E45" s="98"/>
      <c r="F45" s="98"/>
      <c r="G45" s="98"/>
      <c r="H45" s="9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5"/>
      <c r="X45" s="2"/>
      <c r="Y45" s="3"/>
      <c r="Z45" s="3"/>
      <c r="AA45" s="3"/>
      <c r="AB45" s="3"/>
      <c r="AC45" s="3"/>
    </row>
    <row r="46" spans="1:29" x14ac:dyDescent="0.3">
      <c r="A46" s="89" t="s">
        <v>82</v>
      </c>
      <c r="B46" s="90"/>
      <c r="C46" s="90"/>
      <c r="D46" s="90"/>
      <c r="E46" s="90"/>
      <c r="F46" s="90"/>
      <c r="G46" s="90"/>
      <c r="H46" s="9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5"/>
      <c r="X46" s="2"/>
      <c r="Y46" s="3"/>
      <c r="Z46" s="3"/>
      <c r="AA46" s="3"/>
      <c r="AB46" s="3"/>
      <c r="AC46" s="3"/>
    </row>
    <row r="47" spans="1:29" x14ac:dyDescent="0.3">
      <c r="A47" s="92"/>
      <c r="B47" s="93"/>
      <c r="C47" s="93"/>
      <c r="D47" s="93"/>
      <c r="E47" s="93"/>
      <c r="F47" s="93"/>
      <c r="G47" s="93"/>
      <c r="H47" s="9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5"/>
      <c r="X47" s="2"/>
      <c r="Y47" s="3"/>
      <c r="Z47" s="3"/>
      <c r="AA47" s="3"/>
      <c r="AB47" s="3"/>
      <c r="AC47" s="3"/>
    </row>
    <row r="48" spans="1:29" x14ac:dyDescent="0.3">
      <c r="A48" s="35" t="s">
        <v>72</v>
      </c>
      <c r="H48" s="4"/>
      <c r="I48" s="2"/>
      <c r="J48" s="2"/>
      <c r="K48" s="2"/>
      <c r="L48" s="2" t="s">
        <v>23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  <c r="AA48" s="3"/>
      <c r="AB48" s="3"/>
      <c r="AC48" s="3"/>
    </row>
    <row r="49" spans="1:29" x14ac:dyDescent="0.3">
      <c r="A49" s="5"/>
      <c r="B49" s="11"/>
      <c r="H49" s="4"/>
      <c r="I49" s="2"/>
      <c r="J49" s="2"/>
      <c r="K49" s="2"/>
      <c r="L49" s="2" t="s">
        <v>24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  <c r="AA49" s="3"/>
      <c r="AB49" s="3"/>
      <c r="AC49" s="3"/>
    </row>
    <row r="50" spans="1:29" x14ac:dyDescent="0.3">
      <c r="A50" s="5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  <c r="AA50" s="3"/>
      <c r="AB50" s="3"/>
      <c r="AC50" s="3"/>
    </row>
    <row r="51" spans="1:29" x14ac:dyDescent="0.3">
      <c r="A51" s="5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</row>
    <row r="52" spans="1:29" x14ac:dyDescent="0.3">
      <c r="A52" s="5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  <c r="AA52" s="3"/>
      <c r="AB52" s="3"/>
      <c r="AC52" s="3"/>
    </row>
    <row r="53" spans="1:29" x14ac:dyDescent="0.3">
      <c r="A53" s="5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  <c r="AA53" s="3"/>
      <c r="AB53" s="3"/>
      <c r="AC53" s="3"/>
    </row>
    <row r="54" spans="1:29" x14ac:dyDescent="0.3">
      <c r="A54" s="5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  <c r="AA54" s="3"/>
      <c r="AB54" s="3"/>
      <c r="AC54" s="3"/>
    </row>
    <row r="55" spans="1:29" x14ac:dyDescent="0.3">
      <c r="A55" s="5"/>
      <c r="H55" s="4"/>
      <c r="I55" s="2"/>
      <c r="J55" s="2"/>
      <c r="K55" s="66" t="s">
        <v>93</v>
      </c>
      <c r="L55" s="6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  <c r="AA55" s="3"/>
      <c r="AB55" s="3"/>
      <c r="AC55" s="3"/>
    </row>
    <row r="56" spans="1:29" x14ac:dyDescent="0.3">
      <c r="A56" s="5"/>
      <c r="H56" s="4"/>
      <c r="I56" s="2"/>
      <c r="J56" s="2"/>
      <c r="K56" s="2">
        <v>30</v>
      </c>
      <c r="L56" s="2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</row>
    <row r="57" spans="1:29" x14ac:dyDescent="0.3">
      <c r="A57" s="5"/>
      <c r="H57" s="4"/>
      <c r="I57" s="2"/>
      <c r="J57" s="2"/>
      <c r="K57" s="2">
        <v>30</v>
      </c>
      <c r="L57" s="2">
        <f>MAX(N25:N28)</f>
        <v>0.79187857142857143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  <c r="AA57" s="3"/>
      <c r="AB57" s="3"/>
      <c r="AC57" s="3"/>
    </row>
    <row r="58" spans="1:29" x14ac:dyDescent="0.3">
      <c r="A58" s="5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  <c r="AA58" s="3"/>
      <c r="AB58" s="3"/>
      <c r="AC58" s="3"/>
    </row>
    <row r="59" spans="1:29" x14ac:dyDescent="0.3">
      <c r="A59" s="5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  <c r="AA59" s="3"/>
      <c r="AB59" s="3"/>
      <c r="AC59" s="3"/>
    </row>
    <row r="60" spans="1:29" x14ac:dyDescent="0.3">
      <c r="A60" s="5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  <c r="AA60" s="3"/>
      <c r="AB60" s="3"/>
      <c r="AC60" s="3"/>
    </row>
    <row r="61" spans="1:29" x14ac:dyDescent="0.3">
      <c r="A61" s="5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  <c r="AA61" s="3"/>
      <c r="AB61" s="3"/>
      <c r="AC61" s="3"/>
    </row>
    <row r="62" spans="1:29" x14ac:dyDescent="0.3">
      <c r="A62" s="5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3"/>
    </row>
    <row r="63" spans="1:29" x14ac:dyDescent="0.3">
      <c r="A63" s="5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  <c r="AA63" s="3"/>
      <c r="AB63" s="3"/>
      <c r="AC63" s="3"/>
    </row>
    <row r="64" spans="1:29" x14ac:dyDescent="0.3">
      <c r="A64" s="5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  <c r="AA64" s="3"/>
      <c r="AB64" s="3"/>
      <c r="AC64" s="3"/>
    </row>
    <row r="65" spans="1:29" x14ac:dyDescent="0.3">
      <c r="A65" s="5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  <c r="AA65" s="3"/>
      <c r="AB65" s="3"/>
      <c r="AC65" s="3"/>
    </row>
    <row r="66" spans="1:29" x14ac:dyDescent="0.3">
      <c r="A66" s="5"/>
      <c r="H66" s="4"/>
      <c r="I66" s="2"/>
      <c r="J66" s="2"/>
      <c r="K66" s="2"/>
      <c r="L66" s="2" t="s">
        <v>28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  <c r="AA66" s="3"/>
      <c r="AB66" s="3"/>
      <c r="AC66" s="3"/>
    </row>
    <row r="67" spans="1:29" x14ac:dyDescent="0.3">
      <c r="A67" s="5"/>
      <c r="H67" s="4"/>
      <c r="I67" s="2"/>
      <c r="J67" s="2"/>
      <c r="K67" s="2"/>
      <c r="L67" s="2"/>
      <c r="M67" s="2"/>
      <c r="N67" s="2"/>
      <c r="O67" s="2" t="s">
        <v>35</v>
      </c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  <c r="AA67" s="3"/>
      <c r="AB67" s="3"/>
      <c r="AC67" s="3"/>
    </row>
    <row r="68" spans="1:29" x14ac:dyDescent="0.3">
      <c r="A68" s="5"/>
      <c r="H68" s="4"/>
      <c r="I68" s="2"/>
      <c r="J68" s="2"/>
      <c r="K68" s="2"/>
      <c r="L68" s="2" t="s">
        <v>25</v>
      </c>
      <c r="M68" s="2">
        <f>J2*J3</f>
        <v>40000</v>
      </c>
      <c r="N68" s="2" t="s">
        <v>0</v>
      </c>
      <c r="O68" s="41">
        <f>O69+O70</f>
        <v>1</v>
      </c>
      <c r="P68" s="2" t="s">
        <v>34</v>
      </c>
      <c r="Q68" s="2">
        <f>J4</f>
        <v>10</v>
      </c>
      <c r="R68" s="2"/>
      <c r="S68" s="2"/>
      <c r="T68" s="2"/>
      <c r="U68" s="2"/>
      <c r="V68" s="2"/>
      <c r="W68" s="2"/>
      <c r="X68" s="2"/>
      <c r="Y68" s="3"/>
      <c r="Z68" s="3"/>
      <c r="AA68" s="3"/>
      <c r="AB68" s="3"/>
      <c r="AC68" s="3"/>
    </row>
    <row r="69" spans="1:29" x14ac:dyDescent="0.3">
      <c r="A69" s="5"/>
      <c r="H69" s="4"/>
      <c r="I69" s="2"/>
      <c r="J69" s="2"/>
      <c r="K69" s="2"/>
      <c r="L69" s="2" t="s">
        <v>26</v>
      </c>
      <c r="M69" s="2">
        <f>M68-B13</f>
        <v>1327</v>
      </c>
      <c r="N69" s="2" t="s">
        <v>0</v>
      </c>
      <c r="O69" s="2">
        <f t="shared" ref="O69:O70" si="9">M69/$M$68</f>
        <v>3.3175000000000003E-2</v>
      </c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  <c r="AA69" s="3"/>
      <c r="AB69" s="3"/>
      <c r="AC69" s="3"/>
    </row>
    <row r="70" spans="1:29" x14ac:dyDescent="0.3">
      <c r="A70" s="5"/>
      <c r="H70" s="4"/>
      <c r="I70" s="2"/>
      <c r="J70" s="2"/>
      <c r="K70" s="2"/>
      <c r="L70" s="2" t="s">
        <v>27</v>
      </c>
      <c r="M70" s="2">
        <f>M68-M69</f>
        <v>38673</v>
      </c>
      <c r="N70" s="2" t="s">
        <v>0</v>
      </c>
      <c r="O70" s="2">
        <f t="shared" si="9"/>
        <v>0.96682500000000005</v>
      </c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  <c r="AA70" s="3"/>
      <c r="AB70" s="3"/>
      <c r="AC70" s="3"/>
    </row>
    <row r="71" spans="1:29" x14ac:dyDescent="0.3">
      <c r="A71" s="5"/>
      <c r="H71" s="4"/>
      <c r="I71" s="2"/>
      <c r="J71" s="2"/>
      <c r="K71" s="2" t="s">
        <v>29</v>
      </c>
      <c r="L71" s="42" t="s">
        <v>55</v>
      </c>
      <c r="M71" s="41">
        <v>50</v>
      </c>
      <c r="N71" s="2" t="s">
        <v>31</v>
      </c>
      <c r="O71" s="42" t="s">
        <v>33</v>
      </c>
      <c r="P71" s="41">
        <f>$Q$68/M71/1000</f>
        <v>2.0000000000000001E-4</v>
      </c>
      <c r="Q71" s="2" t="s">
        <v>36</v>
      </c>
      <c r="R71" s="43" t="s">
        <v>37</v>
      </c>
      <c r="S71" s="2">
        <f>O69/P71+O70/P72</f>
        <v>188.111975</v>
      </c>
      <c r="T71" s="2"/>
      <c r="U71" s="2"/>
      <c r="V71" s="2"/>
      <c r="W71" s="2"/>
      <c r="X71" s="2"/>
      <c r="Y71" s="3"/>
      <c r="Z71" s="3"/>
      <c r="AA71" s="3"/>
      <c r="AB71" s="3"/>
      <c r="AC71" s="3"/>
    </row>
    <row r="72" spans="1:29" x14ac:dyDescent="0.3">
      <c r="A72" s="5"/>
      <c r="H72" s="4"/>
      <c r="I72" s="2"/>
      <c r="J72" s="2"/>
      <c r="K72" s="2" t="s">
        <v>30</v>
      </c>
      <c r="L72" s="42" t="s">
        <v>56</v>
      </c>
      <c r="M72" s="41">
        <v>0.23</v>
      </c>
      <c r="N72" s="2" t="s">
        <v>31</v>
      </c>
      <c r="O72" s="42" t="s">
        <v>32</v>
      </c>
      <c r="P72" s="41">
        <f>$Q$68/M72/1000</f>
        <v>4.3478260869565216E-2</v>
      </c>
      <c r="Q72" s="2" t="s">
        <v>36</v>
      </c>
      <c r="R72" s="43" t="s">
        <v>38</v>
      </c>
      <c r="S72" s="2">
        <f>1/S71</f>
        <v>5.3159826746808653E-3</v>
      </c>
      <c r="T72" s="42" t="s">
        <v>57</v>
      </c>
      <c r="U72" s="2">
        <f>Q68/1000/S72</f>
        <v>1.8811197499999999</v>
      </c>
      <c r="V72" s="2"/>
      <c r="W72" s="2"/>
      <c r="X72" s="2"/>
      <c r="Y72" s="3"/>
      <c r="Z72" s="3"/>
      <c r="AA72" s="3"/>
      <c r="AB72" s="3"/>
      <c r="AC72" s="3"/>
    </row>
    <row r="73" spans="1:29" x14ac:dyDescent="0.3">
      <c r="A73" s="5"/>
      <c r="H73" s="4"/>
      <c r="I73" s="2"/>
      <c r="J73" s="2"/>
      <c r="K73" s="2" t="s">
        <v>39</v>
      </c>
      <c r="L73" s="42" t="s">
        <v>55</v>
      </c>
      <c r="M73" s="41">
        <v>15</v>
      </c>
      <c r="N73" s="2" t="s">
        <v>31</v>
      </c>
      <c r="O73" s="42" t="s">
        <v>33</v>
      </c>
      <c r="P73" s="41">
        <f>$Q$68/M73/1000</f>
        <v>6.6666666666666664E-4</v>
      </c>
      <c r="Q73" s="2" t="s">
        <v>36</v>
      </c>
      <c r="R73" s="43" t="s">
        <v>37</v>
      </c>
      <c r="S73" s="2">
        <f>O69/P73+O70/P74</f>
        <v>71.999475000000004</v>
      </c>
      <c r="T73" s="2"/>
      <c r="U73" s="2"/>
      <c r="V73" s="2"/>
      <c r="W73" s="2"/>
      <c r="X73" s="2"/>
      <c r="Y73" s="3"/>
      <c r="Z73" s="3"/>
      <c r="AA73" s="3"/>
      <c r="AB73" s="3"/>
      <c r="AC73" s="3"/>
    </row>
    <row r="74" spans="1:29" x14ac:dyDescent="0.3">
      <c r="A74" s="33"/>
      <c r="B74" s="20"/>
      <c r="C74" s="20"/>
      <c r="D74" s="20"/>
      <c r="E74" s="20"/>
      <c r="F74" s="20"/>
      <c r="G74" s="20"/>
      <c r="H74" s="32"/>
      <c r="I74" s="2"/>
      <c r="J74" s="2"/>
      <c r="K74" s="2" t="s">
        <v>30</v>
      </c>
      <c r="L74" s="42" t="s">
        <v>56</v>
      </c>
      <c r="M74" s="41">
        <v>0.23</v>
      </c>
      <c r="N74" s="2" t="s">
        <v>31</v>
      </c>
      <c r="O74" s="42" t="s">
        <v>32</v>
      </c>
      <c r="P74" s="41">
        <f>$Q$68/M74/1000</f>
        <v>4.3478260869565216E-2</v>
      </c>
      <c r="Q74" s="2" t="s">
        <v>36</v>
      </c>
      <c r="R74" s="43" t="s">
        <v>38</v>
      </c>
      <c r="S74" s="2">
        <f>1/S73</f>
        <v>1.3888990162775491E-2</v>
      </c>
      <c r="T74" s="42" t="s">
        <v>57</v>
      </c>
      <c r="U74" s="2">
        <f>Q68/1000/S74</f>
        <v>0.71999475000000002</v>
      </c>
      <c r="V74" s="2"/>
      <c r="W74" s="2"/>
      <c r="X74" s="2"/>
      <c r="Y74" s="3"/>
      <c r="Z74" s="3"/>
      <c r="AA74" s="3"/>
      <c r="AB74" s="3"/>
      <c r="AC74" s="3"/>
    </row>
    <row r="75" spans="1:29" x14ac:dyDescent="0.3">
      <c r="A75" s="84" t="s">
        <v>83</v>
      </c>
      <c r="B75" s="85"/>
      <c r="C75" s="85"/>
      <c r="H75" s="4"/>
      <c r="I75" s="6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  <c r="AA75" s="3"/>
      <c r="AB75" s="3"/>
      <c r="AC75" s="3"/>
    </row>
    <row r="76" spans="1:29" x14ac:dyDescent="0.3">
      <c r="A76" s="74" t="s">
        <v>84</v>
      </c>
      <c r="B76" s="75"/>
      <c r="C76" s="75"/>
      <c r="D76" s="75"/>
      <c r="E76" s="75"/>
      <c r="F76" s="75"/>
      <c r="G76" s="75"/>
      <c r="H76" s="7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  <c r="AA76" s="3"/>
      <c r="AB76" s="3"/>
      <c r="AC76" s="3"/>
    </row>
    <row r="77" spans="1:29" x14ac:dyDescent="0.3">
      <c r="A77" s="77"/>
      <c r="B77" s="75"/>
      <c r="C77" s="75"/>
      <c r="D77" s="75"/>
      <c r="E77" s="75"/>
      <c r="F77" s="75"/>
      <c r="G77" s="75"/>
      <c r="H77" s="7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  <c r="AA77" s="3"/>
      <c r="AB77" s="3"/>
      <c r="AC77" s="3"/>
    </row>
    <row r="78" spans="1:29" x14ac:dyDescent="0.3">
      <c r="A78" s="78"/>
      <c r="B78" s="79"/>
      <c r="C78" s="79"/>
      <c r="D78" s="79"/>
      <c r="E78" s="79"/>
      <c r="F78" s="79"/>
      <c r="G78" s="79"/>
      <c r="H78" s="80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  <c r="AA78" s="3"/>
      <c r="AB78" s="3"/>
      <c r="AC78" s="3"/>
    </row>
    <row r="79" spans="1:29" x14ac:dyDescent="0.3">
      <c r="A79" s="106" t="s">
        <v>85</v>
      </c>
      <c r="B79" s="107"/>
      <c r="C79" s="13">
        <f>ROUND(M68,0)</f>
        <v>40000</v>
      </c>
      <c r="D79" s="16" t="s">
        <v>42</v>
      </c>
      <c r="E79" s="30">
        <f>E80+E81</f>
        <v>1</v>
      </c>
      <c r="F79" s="12"/>
      <c r="G79" s="70" t="s">
        <v>43</v>
      </c>
      <c r="H79" s="70" t="s">
        <v>44</v>
      </c>
      <c r="I79" s="2"/>
      <c r="J79" s="117" t="s">
        <v>58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  <c r="AA79" s="3"/>
      <c r="AB79" s="3"/>
      <c r="AC79" s="3"/>
    </row>
    <row r="80" spans="1:29" x14ac:dyDescent="0.3">
      <c r="A80" s="108" t="s">
        <v>86</v>
      </c>
      <c r="B80" s="109"/>
      <c r="C80" s="10">
        <f t="shared" ref="C80:C81" si="10">ROUND(M69,0)</f>
        <v>1327</v>
      </c>
      <c r="D80" s="14" t="s">
        <v>42</v>
      </c>
      <c r="E80" s="15">
        <f>O69</f>
        <v>3.3175000000000003E-2</v>
      </c>
      <c r="F80" s="4"/>
      <c r="G80" s="71"/>
      <c r="H80" s="71"/>
      <c r="I80" s="2"/>
      <c r="J80" s="1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  <c r="AA80" s="3"/>
      <c r="AB80" s="3"/>
      <c r="AC80" s="3"/>
    </row>
    <row r="81" spans="1:29" x14ac:dyDescent="0.3">
      <c r="A81" s="110" t="s">
        <v>87</v>
      </c>
      <c r="B81" s="111"/>
      <c r="C81" s="18">
        <f t="shared" si="10"/>
        <v>38673</v>
      </c>
      <c r="D81" s="19" t="s">
        <v>42</v>
      </c>
      <c r="E81" s="31">
        <f>O70</f>
        <v>0.96682500000000005</v>
      </c>
      <c r="F81" s="32"/>
      <c r="G81" s="72"/>
      <c r="H81" s="72"/>
      <c r="I81" s="2"/>
      <c r="J81" s="1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  <c r="AA81" s="3"/>
      <c r="AB81" s="3"/>
      <c r="AC81" s="3"/>
    </row>
    <row r="82" spans="1:29" x14ac:dyDescent="0.3">
      <c r="A82" s="112" t="s">
        <v>88</v>
      </c>
      <c r="B82" s="113"/>
      <c r="C82" s="27" t="s">
        <v>40</v>
      </c>
      <c r="D82" s="29">
        <f>M71</f>
        <v>50</v>
      </c>
      <c r="E82" s="25" t="s">
        <v>45</v>
      </c>
      <c r="F82" s="26">
        <f>ROUND(P71,5)</f>
        <v>2.0000000000000001E-4</v>
      </c>
      <c r="G82" s="73">
        <f>ROUND(S71,1)</f>
        <v>188.1</v>
      </c>
      <c r="H82" s="73">
        <f>ROUND(U72,3)</f>
        <v>1.881</v>
      </c>
      <c r="I82" s="2"/>
      <c r="J82" s="83">
        <f>ROUND(S72,5)</f>
        <v>5.3200000000000001E-3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  <c r="AA82" s="3"/>
      <c r="AB82" s="3"/>
      <c r="AC82" s="3"/>
    </row>
    <row r="83" spans="1:29" x14ac:dyDescent="0.3">
      <c r="A83" s="114" t="s">
        <v>30</v>
      </c>
      <c r="B83" s="113"/>
      <c r="C83" s="27" t="s">
        <v>41</v>
      </c>
      <c r="D83" s="29">
        <f>M72</f>
        <v>0.23</v>
      </c>
      <c r="E83" s="25" t="s">
        <v>46</v>
      </c>
      <c r="F83" s="26">
        <f t="shared" ref="F83" si="11">ROUND(P72,5)</f>
        <v>4.3479999999999998E-2</v>
      </c>
      <c r="G83" s="73"/>
      <c r="H83" s="73"/>
      <c r="I83" s="2"/>
      <c r="J83" s="8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  <c r="AA83" s="3"/>
      <c r="AB83" s="3"/>
      <c r="AC83" s="3"/>
    </row>
    <row r="84" spans="1:29" x14ac:dyDescent="0.3">
      <c r="A84" s="5"/>
      <c r="G84" s="21"/>
      <c r="H84" s="2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  <c r="AA84" s="3"/>
      <c r="AB84" s="3"/>
      <c r="AC84" s="3"/>
    </row>
    <row r="85" spans="1:29" x14ac:dyDescent="0.3">
      <c r="A85" s="103" t="s">
        <v>89</v>
      </c>
      <c r="B85" s="104"/>
      <c r="C85" s="28" t="s">
        <v>40</v>
      </c>
      <c r="D85" s="29">
        <f>M73</f>
        <v>15</v>
      </c>
      <c r="E85" s="24" t="s">
        <v>45</v>
      </c>
      <c r="F85" s="23">
        <f>ROUND(P73,5)</f>
        <v>6.7000000000000002E-4</v>
      </c>
      <c r="G85" s="73">
        <f>ROUND(S73,1)</f>
        <v>72</v>
      </c>
      <c r="H85" s="73">
        <f>ROUND(U74,3)</f>
        <v>0.72</v>
      </c>
      <c r="I85" s="2"/>
      <c r="J85" s="83">
        <f>ROUND(S74,5)</f>
        <v>1.389E-2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  <c r="AA85" s="3"/>
      <c r="AB85" s="3"/>
      <c r="AC85" s="3"/>
    </row>
    <row r="86" spans="1:29" x14ac:dyDescent="0.3">
      <c r="A86" s="105" t="s">
        <v>30</v>
      </c>
      <c r="B86" s="105"/>
      <c r="C86" s="28" t="s">
        <v>41</v>
      </c>
      <c r="D86" s="29">
        <f>M74</f>
        <v>0.23</v>
      </c>
      <c r="E86" s="24" t="s">
        <v>46</v>
      </c>
      <c r="F86" s="23">
        <f>ROUND(P74,5)</f>
        <v>4.3479999999999998E-2</v>
      </c>
      <c r="G86" s="73"/>
      <c r="H86" s="73"/>
      <c r="I86" s="2"/>
      <c r="J86" s="8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  <c r="AA86" s="3"/>
      <c r="AB86" s="3"/>
      <c r="AC86" s="3"/>
    </row>
    <row r="87" spans="1:29" x14ac:dyDescent="0.3">
      <c r="A87" s="67" t="s">
        <v>90</v>
      </c>
      <c r="B87" s="68"/>
      <c r="C87" s="68"/>
      <c r="D87" s="68"/>
      <c r="E87" s="68"/>
      <c r="F87" s="68"/>
      <c r="G87" s="68"/>
      <c r="H87" s="6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  <c r="AA87" s="3"/>
      <c r="AB87" s="3"/>
      <c r="AC87" s="3"/>
    </row>
    <row r="88" spans="1:29" x14ac:dyDescent="0.3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  <c r="AA88" s="3"/>
      <c r="AB88" s="3"/>
      <c r="AC88" s="3"/>
    </row>
    <row r="89" spans="1:29" x14ac:dyDescent="0.3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  <c r="AA89" s="3"/>
      <c r="AB89" s="3"/>
      <c r="AC89" s="3"/>
    </row>
    <row r="90" spans="1:29" x14ac:dyDescent="0.3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  <c r="AA90" s="3"/>
      <c r="AB90" s="3"/>
    </row>
    <row r="91" spans="1:29" x14ac:dyDescent="0.3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  <c r="AA91" s="3"/>
      <c r="AB91" s="3"/>
    </row>
    <row r="92" spans="1:29" x14ac:dyDescent="0.3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  <c r="AA92" s="3"/>
      <c r="AB92" s="3"/>
    </row>
    <row r="93" spans="1:29" x14ac:dyDescent="0.3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  <c r="AA93" s="3"/>
      <c r="AB93" s="3"/>
    </row>
    <row r="94" spans="1:29" x14ac:dyDescent="0.3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  <c r="AA94" s="3"/>
      <c r="AB94" s="3"/>
    </row>
    <row r="95" spans="1:29" x14ac:dyDescent="0.3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  <c r="AA95" s="3"/>
      <c r="AB95" s="3"/>
    </row>
    <row r="96" spans="1:29" x14ac:dyDescent="0.3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  <c r="AA96" s="3"/>
      <c r="AB96" s="3"/>
    </row>
    <row r="97" spans="9:28" x14ac:dyDescent="0.3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  <c r="AA97" s="3"/>
      <c r="AB97" s="3"/>
    </row>
    <row r="98" spans="9:28" x14ac:dyDescent="0.3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9:28" x14ac:dyDescent="0.3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9:28" x14ac:dyDescent="0.3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9:28" x14ac:dyDescent="0.3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</sheetData>
  <sheetProtection password="EAA6" sheet="1" objects="1" scenarios="1" selectLockedCells="1"/>
  <mergeCells count="42">
    <mergeCell ref="I1:M1"/>
    <mergeCell ref="A4:C4"/>
    <mergeCell ref="D4:E4"/>
    <mergeCell ref="A1:B1"/>
    <mergeCell ref="F4:G4"/>
    <mergeCell ref="A2:B2"/>
    <mergeCell ref="C1:G1"/>
    <mergeCell ref="C2:G2"/>
    <mergeCell ref="C3:D3"/>
    <mergeCell ref="A3:B3"/>
    <mergeCell ref="F3:G3"/>
    <mergeCell ref="I23:N23"/>
    <mergeCell ref="I10:J10"/>
    <mergeCell ref="I15:J15"/>
    <mergeCell ref="J85:J86"/>
    <mergeCell ref="H85:H86"/>
    <mergeCell ref="J79:J81"/>
    <mergeCell ref="H79:H81"/>
    <mergeCell ref="A7:C7"/>
    <mergeCell ref="A85:B85"/>
    <mergeCell ref="A86:B86"/>
    <mergeCell ref="A79:B79"/>
    <mergeCell ref="A80:B80"/>
    <mergeCell ref="A81:B81"/>
    <mergeCell ref="A82:B82"/>
    <mergeCell ref="A83:B83"/>
    <mergeCell ref="H5:H6"/>
    <mergeCell ref="K55:L55"/>
    <mergeCell ref="A87:H87"/>
    <mergeCell ref="G79:G81"/>
    <mergeCell ref="G85:G86"/>
    <mergeCell ref="A76:H78"/>
    <mergeCell ref="F13:F14"/>
    <mergeCell ref="G82:G83"/>
    <mergeCell ref="J82:J83"/>
    <mergeCell ref="H82:H83"/>
    <mergeCell ref="A75:C75"/>
    <mergeCell ref="D7:H7"/>
    <mergeCell ref="A46:H47"/>
    <mergeCell ref="A44:H45"/>
    <mergeCell ref="F10:G10"/>
    <mergeCell ref="F9:G9"/>
  </mergeCells>
  <conditionalFormatting sqref="C12">
    <cfRule type="expression" dxfId="5" priority="2">
      <formula>$B$12&gt;$L$8</formula>
    </cfRule>
  </conditionalFormatting>
  <conditionalFormatting sqref="D5:D6">
    <cfRule type="expression" dxfId="4" priority="4">
      <formula>D5&gt;30</formula>
    </cfRule>
  </conditionalFormatting>
  <conditionalFormatting sqref="D5:G6 B12:B14">
    <cfRule type="expression" dxfId="3" priority="1">
      <formula>$B$13&lt;0</formula>
    </cfRule>
  </conditionalFormatting>
  <conditionalFormatting sqref="H5:H6">
    <cfRule type="expression" dxfId="2" priority="3">
      <formula>$H$5=1</formula>
    </cfRule>
  </conditionalFormatting>
  <dataValidations count="4">
    <dataValidation type="custom" allowBlank="1" showErrorMessage="1" errorTitle="negative Last!" error="ESZ Sepatherm kann keine negativen Lasten aufnehmen." sqref="B5" xr:uid="{00000000-0002-0000-0000-000000000000}">
      <formula1>B5&gt;=0</formula1>
    </dataValidation>
    <dataValidation allowBlank="1" showInputMessage="1" showErrorMessage="1" errorTitle="negative Last!" error="ESZ Sepatherm kann keine negativen Lasten aufnehmen." sqref="B6" xr:uid="{00000000-0002-0000-0000-000001000000}"/>
    <dataValidation type="custom" allowBlank="1" showErrorMessage="1" errorTitle="negative Abmessung!" error="negative Geometrien machen keinerlei Sinn." sqref="B8:B10" xr:uid="{00000000-0002-0000-0000-000002000000}">
      <formula1>B8&gt;0</formula1>
    </dataValidation>
    <dataValidation type="custom" allowBlank="1" showErrorMessage="1" errorTitle="echt jetzt!!!" error="ne Bohrung kann nicht negativ gebohrt werden." sqref="B11" xr:uid="{00000000-0002-0000-0000-000003000000}">
      <formula1>B11&gt;0</formula1>
    </dataValidation>
  </dataValidations>
  <pageMargins left="0.70866141732283472" right="0.39370078740157483" top="0.82677165354330717" bottom="0.78740157480314965" header="0.23622047244094491" footer="0.31496062992125984"/>
  <pageSetup paperSize="9" scale="95" orientation="portrait" r:id="rId1"/>
  <headerFooter>
    <oddFooter>&amp;C&amp;"Century Gothic,Standard"&amp;10&amp;K01+049Die Verantwortung für den sach- und fachgerechten Einbau obliegt allein der ausführenden Firma. Eine Haftung für die Lagerung wird von der Fa. ESZ Becker GmbH nicht übernommen.</oddFooter>
  </headerFooter>
  <rowBreaks count="1" manualBreakCount="1">
    <brk id="45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>
              <from>
                <xdr:col>4</xdr:col>
                <xdr:colOff>28575</xdr:colOff>
                <xdr:row>12</xdr:row>
                <xdr:rowOff>9525</xdr:rowOff>
              </from>
              <to>
                <xdr:col>4</xdr:col>
                <xdr:colOff>1114425</xdr:colOff>
                <xdr:row>13</xdr:row>
                <xdr:rowOff>200025</xdr:rowOff>
              </to>
            </anchor>
          </objectPr>
        </oleObject>
      </mc:Choice>
      <mc:Fallback>
        <oleObject progId="Equation.3" shapeId="1026" r:id="rId4"/>
      </mc:Fallback>
    </mc:AlternateContent>
    <mc:AlternateContent xmlns:mc="http://schemas.openxmlformats.org/markup-compatibility/2006">
      <mc:Choice Requires="x14">
        <oleObject progId="Equation.DSMT4" shapeId="1027" r:id="rId6">
          <objectPr defaultSize="0" autoPict="0" r:id="rId7">
            <anchor moveWithCells="1" sizeWithCells="1">
              <from>
                <xdr:col>1</xdr:col>
                <xdr:colOff>0</xdr:colOff>
                <xdr:row>48</xdr:row>
                <xdr:rowOff>0</xdr:rowOff>
              </from>
              <to>
                <xdr:col>4</xdr:col>
                <xdr:colOff>485775</xdr:colOff>
                <xdr:row>51</xdr:row>
                <xdr:rowOff>161925</xdr:rowOff>
              </to>
            </anchor>
          </objectPr>
        </oleObject>
      </mc:Choice>
      <mc:Fallback>
        <oleObject progId="Equation.DSMT4" shapeId="102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C101"/>
  <sheetViews>
    <sheetView zoomScaleNormal="100" workbookViewId="0">
      <selection activeCell="B12" sqref="B12"/>
    </sheetView>
  </sheetViews>
  <sheetFormatPr defaultColWidth="11.42578125" defaultRowHeight="16.5" x14ac:dyDescent="0.3"/>
  <cols>
    <col min="1" max="1" width="11.85546875" style="1" customWidth="1"/>
    <col min="2" max="4" width="11.140625" style="1" customWidth="1"/>
    <col min="5" max="5" width="16.85546875" style="1" customWidth="1"/>
    <col min="6" max="8" width="11.140625" style="1" customWidth="1"/>
    <col min="9" max="12" width="11.42578125" style="1"/>
    <col min="13" max="13" width="33.140625" style="1" customWidth="1"/>
    <col min="14" max="14" width="11.42578125" style="1"/>
    <col min="15" max="15" width="11.85546875" style="1" bestFit="1" customWidth="1"/>
    <col min="16" max="16384" width="11.42578125" style="1"/>
  </cols>
  <sheetData>
    <row r="1" spans="1:29" x14ac:dyDescent="0.3">
      <c r="A1" s="106" t="s">
        <v>65</v>
      </c>
      <c r="B1" s="107"/>
      <c r="C1" s="123" t="s">
        <v>66</v>
      </c>
      <c r="D1" s="124"/>
      <c r="E1" s="124"/>
      <c r="F1" s="124"/>
      <c r="G1" s="124"/>
      <c r="H1" s="44" t="str">
        <f>rechthoek!H1</f>
        <v>Datum:</v>
      </c>
      <c r="I1" s="118" t="s">
        <v>91</v>
      </c>
      <c r="J1" s="119"/>
      <c r="K1" s="119"/>
      <c r="L1" s="119"/>
      <c r="M1" s="11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</row>
    <row r="2" spans="1:29" x14ac:dyDescent="0.3">
      <c r="A2" s="108" t="s">
        <v>67</v>
      </c>
      <c r="B2" s="109"/>
      <c r="C2" s="125" t="s">
        <v>94</v>
      </c>
      <c r="D2" s="126"/>
      <c r="E2" s="126"/>
      <c r="F2" s="126"/>
      <c r="G2" s="126"/>
      <c r="H2" s="47">
        <f ca="1">rechthoek!H2</f>
        <v>45166</v>
      </c>
      <c r="I2" s="48" t="s">
        <v>61</v>
      </c>
      <c r="J2" s="49">
        <f>B8</f>
        <v>100</v>
      </c>
      <c r="K2" s="50"/>
      <c r="L2" s="49" t="s">
        <v>49</v>
      </c>
      <c r="M2" s="51">
        <f>ROUND((0.5*(M3^2+M4^2))^-0.5,4)</f>
        <v>1.1651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2"/>
      <c r="AA2" s="2"/>
    </row>
    <row r="3" spans="1:29" x14ac:dyDescent="0.3">
      <c r="A3" s="110" t="s">
        <v>69</v>
      </c>
      <c r="B3" s="111"/>
      <c r="C3" s="127">
        <v>1</v>
      </c>
      <c r="D3" s="127"/>
      <c r="E3" s="20" t="s">
        <v>47</v>
      </c>
      <c r="F3" s="98" t="str">
        <f>"D: " &amp;B8&amp;" x"&amp;B10&amp;" mm"</f>
        <v>D: 100 x20 mm</v>
      </c>
      <c r="G3" s="98"/>
      <c r="H3" s="46" t="str">
        <f>rechthoek!H3</f>
        <v>1.08b</v>
      </c>
      <c r="I3" s="48"/>
      <c r="J3" s="49"/>
      <c r="K3" s="50"/>
      <c r="L3" s="49" t="s">
        <v>50</v>
      </c>
      <c r="M3" s="51">
        <f>IF(J8&gt;=0.75571,1.2280488*J8-0.2280488,0.7)</f>
        <v>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  <c r="Z3" s="2"/>
      <c r="AA3" s="2"/>
    </row>
    <row r="4" spans="1:29" x14ac:dyDescent="0.3">
      <c r="A4" s="120" t="s">
        <v>70</v>
      </c>
      <c r="B4" s="121"/>
      <c r="C4" s="122"/>
      <c r="D4" s="120" t="s">
        <v>71</v>
      </c>
      <c r="E4" s="121"/>
      <c r="F4" s="121" t="s">
        <v>72</v>
      </c>
      <c r="G4" s="121"/>
      <c r="H4" s="12"/>
      <c r="I4" s="48" t="s">
        <v>10</v>
      </c>
      <c r="J4" s="49">
        <f>B10</f>
        <v>20</v>
      </c>
      <c r="K4" s="50"/>
      <c r="L4" s="49" t="s">
        <v>51</v>
      </c>
      <c r="M4" s="52">
        <f>IF(J5&lt;=0.9301988,-0.974*J5+1.60645,IF(J5&lt;=1.0622922,-0.077*J5+0.77245,-0.013*J5+0.70418))</f>
        <v>0.68793000000000004</v>
      </c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</row>
    <row r="5" spans="1:29" x14ac:dyDescent="0.3">
      <c r="A5" s="6" t="s">
        <v>19</v>
      </c>
      <c r="B5" s="7">
        <v>80</v>
      </c>
      <c r="C5" s="4" t="s">
        <v>12</v>
      </c>
      <c r="D5" s="5">
        <f>ROUND(B5*1000/B13,2)</f>
        <v>10.19</v>
      </c>
      <c r="E5" s="1" t="s">
        <v>7</v>
      </c>
      <c r="F5" s="1">
        <f>ROUND(M29,3)</f>
        <v>0.24</v>
      </c>
      <c r="G5" s="1" t="s">
        <v>0</v>
      </c>
      <c r="H5" s="64">
        <f>IF(OR(D5&gt;30,D6&gt;30),"Pressung beachten",1)</f>
        <v>1</v>
      </c>
      <c r="I5" s="48" t="s">
        <v>2</v>
      </c>
      <c r="J5" s="53">
        <f>PI()*J2^2/(4*PI()*J2*B10)</f>
        <v>1.25</v>
      </c>
      <c r="K5" s="50"/>
      <c r="L5" s="49" t="s">
        <v>52</v>
      </c>
      <c r="M5" s="49">
        <f>B5*1000/$M$7</f>
        <v>10.185916363035853</v>
      </c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</row>
    <row r="6" spans="1:29" x14ac:dyDescent="0.3">
      <c r="A6" s="6" t="s">
        <v>20</v>
      </c>
      <c r="B6" s="7">
        <v>230</v>
      </c>
      <c r="C6" s="4" t="s">
        <v>12</v>
      </c>
      <c r="D6" s="5">
        <f>ROUND(B6*1000/B13,2)</f>
        <v>29.28</v>
      </c>
      <c r="E6" s="1" t="s">
        <v>7</v>
      </c>
      <c r="F6" s="1">
        <f>ROUND(N30,3)</f>
        <v>0.58699999999999997</v>
      </c>
      <c r="G6" s="1" t="s">
        <v>0</v>
      </c>
      <c r="H6" s="65"/>
      <c r="I6" s="48" t="s">
        <v>4</v>
      </c>
      <c r="J6" s="49">
        <v>1400</v>
      </c>
      <c r="K6" s="50"/>
      <c r="L6" s="49" t="s">
        <v>53</v>
      </c>
      <c r="M6" s="49">
        <f>B6*1000/$M$7</f>
        <v>29.284509543728078</v>
      </c>
      <c r="N6" s="2"/>
      <c r="O6" s="2"/>
      <c r="P6" s="2"/>
      <c r="Q6" s="2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</row>
    <row r="7" spans="1:29" x14ac:dyDescent="0.3">
      <c r="A7" s="84" t="s">
        <v>81</v>
      </c>
      <c r="B7" s="101"/>
      <c r="C7" s="102"/>
      <c r="D7" s="86" t="s">
        <v>1</v>
      </c>
      <c r="E7" s="87"/>
      <c r="F7" s="87"/>
      <c r="G7" s="87"/>
      <c r="H7" s="88"/>
      <c r="I7" s="48" t="s">
        <v>3</v>
      </c>
      <c r="J7" s="49">
        <v>1700</v>
      </c>
      <c r="K7" s="50"/>
      <c r="L7" s="49" t="s">
        <v>54</v>
      </c>
      <c r="M7" s="49">
        <f>ROUND(PI()*B8^2/4-PI()*B11^2/4*B12,5)</f>
        <v>7853.9816300000002</v>
      </c>
      <c r="N7" s="2"/>
      <c r="O7" s="2"/>
      <c r="P7" s="2"/>
      <c r="Q7" s="2"/>
      <c r="R7" s="2"/>
      <c r="S7" s="2"/>
      <c r="T7" s="2"/>
      <c r="U7" s="2"/>
      <c r="V7" s="2"/>
      <c r="W7" s="3"/>
      <c r="X7" s="3"/>
      <c r="Y7" s="3"/>
      <c r="Z7" s="3"/>
      <c r="AA7" s="3"/>
      <c r="AB7" s="3"/>
      <c r="AC7" s="3"/>
    </row>
    <row r="8" spans="1:29" x14ac:dyDescent="0.3">
      <c r="A8" s="128" t="s">
        <v>95</v>
      </c>
      <c r="B8" s="130">
        <v>100</v>
      </c>
      <c r="C8" s="131" t="s">
        <v>0</v>
      </c>
      <c r="D8" s="6" t="s">
        <v>5</v>
      </c>
      <c r="E8" s="8">
        <f>J5</f>
        <v>1.25</v>
      </c>
      <c r="F8" s="62" t="s">
        <v>79</v>
      </c>
      <c r="G8" s="9"/>
      <c r="H8" s="4"/>
      <c r="I8" s="48" t="s">
        <v>11</v>
      </c>
      <c r="J8" s="49">
        <v>1</v>
      </c>
      <c r="K8" s="50"/>
      <c r="L8" s="50"/>
      <c r="M8" s="50"/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  <c r="AA8" s="3"/>
      <c r="AB8" s="3"/>
      <c r="AC8" s="3"/>
    </row>
    <row r="9" spans="1:29" ht="19.5" x14ac:dyDescent="0.4">
      <c r="A9" s="129"/>
      <c r="B9" s="130"/>
      <c r="C9" s="131"/>
      <c r="D9" s="6" t="s">
        <v>59</v>
      </c>
      <c r="E9" s="10">
        <f>J7</f>
        <v>1700</v>
      </c>
      <c r="F9" s="100" t="s">
        <v>7</v>
      </c>
      <c r="G9" s="100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5"/>
      <c r="X9" s="3"/>
      <c r="Y9" s="3"/>
      <c r="Z9" s="3"/>
      <c r="AA9" s="3"/>
      <c r="AB9" s="3"/>
      <c r="AC9" s="3"/>
    </row>
    <row r="10" spans="1:29" ht="19.5" x14ac:dyDescent="0.4">
      <c r="A10" s="60" t="s">
        <v>75</v>
      </c>
      <c r="B10" s="7">
        <v>20</v>
      </c>
      <c r="C10" s="4" t="s">
        <v>0</v>
      </c>
      <c r="D10" s="6" t="s">
        <v>60</v>
      </c>
      <c r="E10" s="10">
        <f>J6</f>
        <v>1400</v>
      </c>
      <c r="F10" s="100" t="s">
        <v>7</v>
      </c>
      <c r="G10" s="100"/>
      <c r="H10" s="4"/>
      <c r="I10" s="115" t="s">
        <v>11</v>
      </c>
      <c r="J10" s="115"/>
      <c r="K10" s="2" t="s">
        <v>15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5"/>
      <c r="X10" s="2"/>
      <c r="Y10" s="3"/>
      <c r="Z10" s="3"/>
      <c r="AA10" s="3"/>
      <c r="AB10" s="3"/>
      <c r="AC10" s="3"/>
    </row>
    <row r="11" spans="1:29" x14ac:dyDescent="0.3">
      <c r="A11" s="60" t="s">
        <v>96</v>
      </c>
      <c r="B11" s="7">
        <v>0</v>
      </c>
      <c r="C11" s="4" t="s">
        <v>0</v>
      </c>
      <c r="D11" s="34" t="s">
        <v>13</v>
      </c>
      <c r="E11" s="8">
        <f>M3</f>
        <v>1</v>
      </c>
      <c r="H11" s="4"/>
      <c r="I11" s="2">
        <v>0.1</v>
      </c>
      <c r="J11" s="2">
        <v>0.7</v>
      </c>
      <c r="K11" s="2">
        <f>J8</f>
        <v>1</v>
      </c>
      <c r="L11" s="2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45"/>
      <c r="X11" s="2"/>
      <c r="Y11" s="3"/>
      <c r="Z11" s="3"/>
      <c r="AA11" s="3"/>
      <c r="AB11" s="3"/>
      <c r="AC11" s="3"/>
    </row>
    <row r="12" spans="1:29" x14ac:dyDescent="0.3">
      <c r="A12" s="58" t="s">
        <v>69</v>
      </c>
      <c r="B12" s="7">
        <v>0</v>
      </c>
      <c r="C12" s="4"/>
      <c r="D12" s="34" t="s">
        <v>14</v>
      </c>
      <c r="E12" s="8">
        <f>M4</f>
        <v>0.68793000000000004</v>
      </c>
      <c r="H12" s="4"/>
      <c r="I12" s="2">
        <v>0.33621262458471762</v>
      </c>
      <c r="J12" s="2">
        <v>0.7</v>
      </c>
      <c r="K12" s="2">
        <f>K11</f>
        <v>1</v>
      </c>
      <c r="L12" s="2">
        <f>M3</f>
        <v>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45"/>
      <c r="X12" s="2"/>
      <c r="Y12" s="3"/>
      <c r="Z12" s="3"/>
      <c r="AA12" s="3"/>
      <c r="AB12" s="3"/>
      <c r="AC12" s="3"/>
    </row>
    <row r="13" spans="1:29" x14ac:dyDescent="0.3">
      <c r="A13" s="58" t="s">
        <v>77</v>
      </c>
      <c r="B13" s="10">
        <f>ROUND(PI()*B8^2/4-PI()*B11^2/4*B12,0)</f>
        <v>7854</v>
      </c>
      <c r="C13" s="4" t="s">
        <v>16</v>
      </c>
      <c r="D13" s="5"/>
      <c r="F13" s="81">
        <f>ROUND(M2,3)</f>
        <v>1.165</v>
      </c>
      <c r="H13" s="4"/>
      <c r="I13" s="2">
        <v>0.75571002979145974</v>
      </c>
      <c r="J13" s="2">
        <v>0.7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5"/>
      <c r="X13" s="2"/>
      <c r="Y13" s="3"/>
      <c r="Z13" s="3"/>
      <c r="AA13" s="3"/>
      <c r="AB13" s="3"/>
      <c r="AC13" s="3"/>
    </row>
    <row r="14" spans="1:29" x14ac:dyDescent="0.3">
      <c r="A14" s="17" t="s">
        <v>48</v>
      </c>
      <c r="B14" s="18">
        <f>ROUND(1.411*B13*B10/1000000,3)</f>
        <v>0.222</v>
      </c>
      <c r="C14" s="61" t="s">
        <v>78</v>
      </c>
      <c r="D14" s="33"/>
      <c r="E14" s="20"/>
      <c r="F14" s="82"/>
      <c r="G14" s="20"/>
      <c r="H14" s="32"/>
      <c r="I14" s="2">
        <v>1</v>
      </c>
      <c r="J14" s="2">
        <v>1</v>
      </c>
      <c r="K14" s="2"/>
      <c r="L14" s="2"/>
      <c r="M14" s="2"/>
      <c r="N14" s="36"/>
      <c r="O14" s="2"/>
      <c r="P14" s="2"/>
      <c r="Q14" s="2"/>
      <c r="R14" s="2"/>
      <c r="S14" s="2"/>
      <c r="T14" s="2"/>
      <c r="U14" s="2"/>
      <c r="V14" s="2"/>
      <c r="W14" s="45"/>
      <c r="X14" s="2"/>
      <c r="Y14" s="3"/>
      <c r="Z14" s="3"/>
      <c r="AA14" s="3"/>
      <c r="AB14" s="3"/>
      <c r="AC14" s="3"/>
    </row>
    <row r="15" spans="1:29" x14ac:dyDescent="0.3">
      <c r="A15" s="5"/>
      <c r="H15" s="4"/>
      <c r="I15" s="116" t="s">
        <v>6</v>
      </c>
      <c r="J15" s="115"/>
      <c r="K15" s="37">
        <f>J5</f>
        <v>1.25</v>
      </c>
      <c r="L15" s="2"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45"/>
      <c r="X15" s="2"/>
      <c r="Y15" s="3"/>
      <c r="Z15" s="3"/>
      <c r="AA15" s="3"/>
      <c r="AB15" s="3"/>
      <c r="AC15" s="3"/>
    </row>
    <row r="16" spans="1:29" x14ac:dyDescent="0.3">
      <c r="A16" s="5"/>
      <c r="H16" s="4"/>
      <c r="I16" s="2">
        <v>0.62279964169410285</v>
      </c>
      <c r="J16" s="2">
        <v>1</v>
      </c>
      <c r="K16" s="2">
        <f>K15</f>
        <v>1.25</v>
      </c>
      <c r="L16" s="2">
        <f>M4</f>
        <v>0.68793000000000004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45"/>
      <c r="X16" s="2"/>
      <c r="Y16" s="3"/>
      <c r="Z16" s="3"/>
      <c r="AA16" s="3"/>
      <c r="AB16" s="3"/>
      <c r="AC16" s="3"/>
    </row>
    <row r="17" spans="1:29" x14ac:dyDescent="0.3">
      <c r="A17" s="5"/>
      <c r="H17" s="4"/>
      <c r="I17" s="2">
        <v>0.93019880855026704</v>
      </c>
      <c r="J17" s="2">
        <v>0.70067236416609879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5"/>
      <c r="X17" s="2"/>
      <c r="Y17" s="3"/>
      <c r="Z17" s="3"/>
      <c r="AA17" s="3"/>
      <c r="AB17" s="3"/>
      <c r="AC17" s="3"/>
    </row>
    <row r="18" spans="1:29" x14ac:dyDescent="0.3">
      <c r="A18" s="5"/>
      <c r="H18" s="4"/>
      <c r="I18" s="2">
        <v>1.0622922106919563</v>
      </c>
      <c r="J18" s="2">
        <v>0.69047930211862019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5"/>
      <c r="X18" s="2"/>
      <c r="Y18" s="3"/>
      <c r="Z18" s="3"/>
      <c r="AA18" s="3"/>
      <c r="AB18" s="3"/>
      <c r="AC18" s="3"/>
    </row>
    <row r="19" spans="1:29" x14ac:dyDescent="0.3">
      <c r="A19" s="5"/>
      <c r="H19" s="4"/>
      <c r="I19" s="2">
        <v>5</v>
      </c>
      <c r="J19" s="2">
        <v>0.63970305596240395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5"/>
      <c r="X19" s="2"/>
      <c r="Y19" s="3"/>
      <c r="Z19" s="3"/>
      <c r="AA19" s="3"/>
      <c r="AB19" s="3"/>
      <c r="AC19" s="3"/>
    </row>
    <row r="20" spans="1:29" x14ac:dyDescent="0.3">
      <c r="A20" s="5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5"/>
      <c r="X20" s="2"/>
      <c r="Y20" s="3"/>
      <c r="Z20" s="3"/>
      <c r="AA20" s="3"/>
      <c r="AB20" s="3"/>
      <c r="AC20" s="3"/>
    </row>
    <row r="21" spans="1:29" x14ac:dyDescent="0.3">
      <c r="A21" s="5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5"/>
      <c r="X21" s="2"/>
      <c r="Y21" s="3"/>
      <c r="Z21" s="3"/>
      <c r="AA21" s="3"/>
      <c r="AB21" s="3"/>
      <c r="AC21" s="3"/>
    </row>
    <row r="22" spans="1:29" x14ac:dyDescent="0.3">
      <c r="A22" s="5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5"/>
      <c r="X22" s="2"/>
      <c r="Y22" s="3"/>
      <c r="Z22" s="3"/>
      <c r="AA22" s="3"/>
      <c r="AB22" s="3"/>
      <c r="AC22" s="3"/>
    </row>
    <row r="23" spans="1:29" x14ac:dyDescent="0.3">
      <c r="A23" s="5"/>
      <c r="H23" s="4"/>
      <c r="I23" s="115"/>
      <c r="J23" s="115"/>
      <c r="K23" s="115"/>
      <c r="L23" s="115"/>
      <c r="M23" s="115"/>
      <c r="N23" s="115"/>
      <c r="O23" s="2"/>
      <c r="P23" s="2"/>
      <c r="Q23" s="2"/>
      <c r="R23" s="2"/>
      <c r="S23" s="2"/>
      <c r="T23" s="2"/>
      <c r="U23" s="2"/>
      <c r="V23" s="2"/>
      <c r="W23" s="45"/>
      <c r="X23" s="2"/>
      <c r="Y23" s="3"/>
      <c r="Z23" s="3"/>
      <c r="AA23" s="3"/>
      <c r="AB23" s="3"/>
      <c r="AC23" s="3"/>
    </row>
    <row r="24" spans="1:29" x14ac:dyDescent="0.3">
      <c r="A24" s="5"/>
      <c r="H24" s="4"/>
      <c r="I24" s="2"/>
      <c r="J24" s="2" t="s">
        <v>7</v>
      </c>
      <c r="K24" s="2" t="s">
        <v>21</v>
      </c>
      <c r="L24" s="2" t="s">
        <v>22</v>
      </c>
      <c r="M24" s="2" t="s">
        <v>17</v>
      </c>
      <c r="N24" s="2" t="s">
        <v>18</v>
      </c>
      <c r="O24" s="2"/>
      <c r="P24" s="2"/>
      <c r="Q24" s="2"/>
      <c r="R24" s="2"/>
      <c r="S24" s="2"/>
      <c r="T24" s="2"/>
      <c r="U24" s="2"/>
      <c r="V24" s="2"/>
      <c r="W24" s="45"/>
      <c r="X24" s="2"/>
      <c r="Y24" s="3"/>
      <c r="Z24" s="3"/>
      <c r="AA24" s="3"/>
      <c r="AB24" s="3"/>
      <c r="AC24" s="3"/>
    </row>
    <row r="25" spans="1:29" x14ac:dyDescent="0.3">
      <c r="A25" s="5"/>
      <c r="H25" s="4"/>
      <c r="I25" s="2"/>
      <c r="J25" s="2">
        <v>0</v>
      </c>
      <c r="K25" s="38">
        <f>$M$2*J25/$J$6</f>
        <v>0</v>
      </c>
      <c r="L25" s="38">
        <f>$M$2*J25/$J$7</f>
        <v>0</v>
      </c>
      <c r="M25" s="2">
        <f>L25*$J$4+0.1</f>
        <v>0.1</v>
      </c>
      <c r="N25" s="2">
        <f>K25*$J$4+0.1</f>
        <v>0.1</v>
      </c>
      <c r="O25" s="2"/>
      <c r="P25" s="2"/>
      <c r="Q25" s="2"/>
      <c r="R25" s="2"/>
      <c r="S25" s="2"/>
      <c r="T25" s="2"/>
      <c r="U25" s="2"/>
      <c r="V25" s="2"/>
      <c r="W25" s="45"/>
      <c r="X25" s="2"/>
      <c r="Y25" s="3"/>
      <c r="Z25" s="3"/>
      <c r="AA25" s="3"/>
      <c r="AB25" s="3"/>
      <c r="AC25" s="3"/>
    </row>
    <row r="26" spans="1:29" x14ac:dyDescent="0.3">
      <c r="A26" s="5"/>
      <c r="H26" s="4"/>
      <c r="I26" s="2"/>
      <c r="J26" s="2">
        <v>1</v>
      </c>
      <c r="K26" s="38">
        <f t="shared" ref="K26:K30" si="0">$M$2*J26/$J$6</f>
        <v>8.3221428571428574E-4</v>
      </c>
      <c r="L26" s="38">
        <f t="shared" ref="L26:L30" si="1">$M$2*J26/$J$7</f>
        <v>6.853529411764706E-4</v>
      </c>
      <c r="M26" s="2">
        <f t="shared" ref="M26:M30" si="2">L26*$J$4+0.1</f>
        <v>0.11370705882352941</v>
      </c>
      <c r="N26" s="2">
        <f t="shared" ref="N26:N30" si="3">K26*$J$4+0.1</f>
        <v>0.11664428571428573</v>
      </c>
      <c r="O26" s="2"/>
      <c r="P26" s="2"/>
      <c r="Q26" s="2"/>
      <c r="R26" s="2"/>
      <c r="S26" s="2"/>
      <c r="T26" s="2"/>
      <c r="U26" s="2"/>
      <c r="V26" s="2"/>
      <c r="W26" s="45"/>
      <c r="X26" s="2"/>
      <c r="Y26" s="3"/>
      <c r="Z26" s="3"/>
      <c r="AA26" s="3"/>
      <c r="AB26" s="3"/>
      <c r="AC26" s="3"/>
    </row>
    <row r="27" spans="1:29" x14ac:dyDescent="0.3">
      <c r="A27" s="5"/>
      <c r="H27" s="4"/>
      <c r="I27" s="2"/>
      <c r="J27" s="2">
        <v>30</v>
      </c>
      <c r="K27" s="38">
        <f t="shared" si="0"/>
        <v>2.4966428571428573E-2</v>
      </c>
      <c r="L27" s="38">
        <f t="shared" si="1"/>
        <v>2.0560588235294119E-2</v>
      </c>
      <c r="M27" s="2">
        <f t="shared" si="2"/>
        <v>0.51121176470588237</v>
      </c>
      <c r="N27" s="2">
        <f t="shared" si="3"/>
        <v>0.59932857142857143</v>
      </c>
      <c r="O27" s="2"/>
      <c r="P27" s="2"/>
      <c r="Q27" s="2"/>
      <c r="R27" s="2"/>
      <c r="S27" s="2"/>
      <c r="T27" s="2"/>
      <c r="U27" s="2"/>
      <c r="V27" s="2"/>
      <c r="W27" s="45"/>
      <c r="X27" s="2"/>
      <c r="Y27" s="3"/>
      <c r="Z27" s="3"/>
      <c r="AA27" s="3"/>
      <c r="AB27" s="3"/>
      <c r="AC27" s="3"/>
    </row>
    <row r="28" spans="1:29" x14ac:dyDescent="0.3">
      <c r="A28" s="5"/>
      <c r="H28" s="4"/>
      <c r="I28" s="2"/>
      <c r="J28" s="2">
        <v>65</v>
      </c>
      <c r="K28" s="38">
        <f t="shared" si="0"/>
        <v>5.4093928571428571E-2</v>
      </c>
      <c r="L28" s="38">
        <f t="shared" si="1"/>
        <v>4.4547941176470589E-2</v>
      </c>
      <c r="M28" s="2">
        <f t="shared" si="2"/>
        <v>0.99095882352941178</v>
      </c>
      <c r="N28" s="2">
        <f t="shared" si="3"/>
        <v>1.1818785714285716</v>
      </c>
      <c r="O28" s="2"/>
      <c r="P28" s="2"/>
      <c r="Q28" s="2"/>
      <c r="R28" s="2"/>
      <c r="S28" s="2"/>
      <c r="T28" s="2"/>
      <c r="U28" s="2"/>
      <c r="V28" s="2"/>
      <c r="W28" s="45"/>
      <c r="X28" s="2"/>
      <c r="Y28" s="3"/>
      <c r="Z28" s="3"/>
      <c r="AA28" s="3"/>
      <c r="AB28" s="3"/>
      <c r="AC28" s="3"/>
    </row>
    <row r="29" spans="1:29" x14ac:dyDescent="0.3">
      <c r="A29" s="5"/>
      <c r="H29" s="4"/>
      <c r="I29" s="2"/>
      <c r="J29" s="2">
        <f>M5</f>
        <v>10.185916363035853</v>
      </c>
      <c r="K29" s="38">
        <f t="shared" si="0"/>
        <v>8.476865110409338E-3</v>
      </c>
      <c r="L29" s="38">
        <f>$M$2*J29/$J$7</f>
        <v>6.9809477379841603E-3</v>
      </c>
      <c r="M29" s="2">
        <f t="shared" si="2"/>
        <v>0.2396189547596832</v>
      </c>
      <c r="N29" s="2">
        <f t="shared" si="3"/>
        <v>0.26953730220818672</v>
      </c>
      <c r="O29" s="39">
        <f>(($M$2*J29/$J$7)*J4)+0.1</f>
        <v>0.2396189547596832</v>
      </c>
      <c r="P29" s="2"/>
      <c r="Q29" s="2"/>
      <c r="R29" s="2"/>
      <c r="S29" s="2"/>
      <c r="T29" s="2"/>
      <c r="U29" s="2"/>
      <c r="V29" s="2"/>
      <c r="W29" s="45"/>
      <c r="X29" s="2"/>
      <c r="Y29" s="3"/>
      <c r="Z29" s="3"/>
      <c r="AA29" s="3"/>
      <c r="AB29" s="3"/>
      <c r="AC29" s="3"/>
    </row>
    <row r="30" spans="1:29" x14ac:dyDescent="0.3">
      <c r="A30" s="5"/>
      <c r="H30" s="4"/>
      <c r="I30" s="2"/>
      <c r="J30" s="2">
        <f>M6</f>
        <v>29.284509543728078</v>
      </c>
      <c r="K30" s="38">
        <f t="shared" si="0"/>
        <v>2.4370987192426842E-2</v>
      </c>
      <c r="L30" s="38">
        <f t="shared" si="1"/>
        <v>2.007022474670446E-2</v>
      </c>
      <c r="M30" s="2">
        <f t="shared" si="2"/>
        <v>0.50140449493408923</v>
      </c>
      <c r="N30" s="2">
        <f t="shared" si="3"/>
        <v>0.58741974384853679</v>
      </c>
      <c r="O30" s="39">
        <f>(($M$2*J30/$J$6)*J4)+0.1</f>
        <v>0.58741974384853679</v>
      </c>
      <c r="P30" s="2"/>
      <c r="Q30" s="2"/>
      <c r="R30" s="2"/>
      <c r="S30" s="2"/>
      <c r="T30" s="2"/>
      <c r="U30" s="2"/>
      <c r="V30" s="2"/>
      <c r="W30" s="45"/>
      <c r="X30" s="2"/>
      <c r="Y30" s="3"/>
      <c r="Z30" s="3"/>
      <c r="AA30" s="3"/>
      <c r="AB30" s="3"/>
      <c r="AC30" s="3"/>
    </row>
    <row r="31" spans="1:29" x14ac:dyDescent="0.3">
      <c r="A31" s="5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45"/>
      <c r="X31" s="2"/>
      <c r="Y31" s="3"/>
      <c r="Z31" s="3"/>
      <c r="AA31" s="3"/>
      <c r="AB31" s="3"/>
      <c r="AC31" s="3"/>
    </row>
    <row r="32" spans="1:29" x14ac:dyDescent="0.3">
      <c r="A32" s="5"/>
      <c r="H32" s="4"/>
      <c r="I32" s="2"/>
      <c r="J32" s="2">
        <f>J29</f>
        <v>10.185916363035853</v>
      </c>
      <c r="K32" s="40">
        <f>K29</f>
        <v>8.476865110409338E-3</v>
      </c>
      <c r="L32" s="40">
        <f t="shared" ref="L32:N32" si="4">L29</f>
        <v>6.9809477379841603E-3</v>
      </c>
      <c r="M32" s="40">
        <f t="shared" si="4"/>
        <v>0.2396189547596832</v>
      </c>
      <c r="N32" s="40">
        <f t="shared" si="4"/>
        <v>0.26953730220818672</v>
      </c>
      <c r="O32" s="2"/>
      <c r="P32" s="2"/>
      <c r="Q32" s="2"/>
      <c r="R32" s="2"/>
      <c r="S32" s="2"/>
      <c r="T32" s="2"/>
      <c r="U32" s="2"/>
      <c r="V32" s="2"/>
      <c r="W32" s="45"/>
      <c r="X32" s="2"/>
      <c r="Y32" s="3"/>
      <c r="Z32" s="3"/>
      <c r="AA32" s="3"/>
      <c r="AB32" s="3"/>
      <c r="AC32" s="3"/>
    </row>
    <row r="33" spans="1:29" x14ac:dyDescent="0.3">
      <c r="A33" s="5"/>
      <c r="H33" s="4"/>
      <c r="I33" s="2"/>
      <c r="J33" s="2">
        <v>0</v>
      </c>
      <c r="K33" s="40">
        <f>K32</f>
        <v>8.476865110409338E-3</v>
      </c>
      <c r="L33" s="40">
        <f t="shared" ref="L33:N33" si="5">L32</f>
        <v>6.9809477379841603E-3</v>
      </c>
      <c r="M33" s="40">
        <f t="shared" si="5"/>
        <v>0.2396189547596832</v>
      </c>
      <c r="N33" s="40">
        <f t="shared" si="5"/>
        <v>0.26953730220818672</v>
      </c>
      <c r="O33" s="2"/>
      <c r="P33" s="2"/>
      <c r="Q33" s="2"/>
      <c r="R33" s="2"/>
      <c r="S33" s="2"/>
      <c r="T33" s="2"/>
      <c r="U33" s="2"/>
      <c r="V33" s="2"/>
      <c r="W33" s="45"/>
      <c r="X33" s="2"/>
      <c r="Y33" s="3"/>
      <c r="Z33" s="3"/>
      <c r="AA33" s="3"/>
      <c r="AB33" s="3"/>
      <c r="AC33" s="3"/>
    </row>
    <row r="34" spans="1:29" x14ac:dyDescent="0.3">
      <c r="A34" s="5"/>
      <c r="H34" s="4"/>
      <c r="I34" s="2"/>
      <c r="J34" s="2">
        <f>J30</f>
        <v>29.284509543728078</v>
      </c>
      <c r="K34" s="40">
        <f>K30</f>
        <v>2.4370987192426842E-2</v>
      </c>
      <c r="L34" s="40">
        <f>L30</f>
        <v>2.007022474670446E-2</v>
      </c>
      <c r="M34" s="40">
        <f>M30</f>
        <v>0.50140449493408923</v>
      </c>
      <c r="N34" s="40">
        <f>N30</f>
        <v>0.58741974384853679</v>
      </c>
      <c r="O34" s="2"/>
      <c r="P34" s="2"/>
      <c r="Q34" s="2"/>
      <c r="R34" s="2"/>
      <c r="S34" s="2"/>
      <c r="T34" s="2"/>
      <c r="U34" s="2"/>
      <c r="V34" s="2"/>
      <c r="W34" s="45"/>
      <c r="X34" s="2"/>
      <c r="Y34" s="3"/>
      <c r="Z34" s="3"/>
      <c r="AA34" s="3"/>
      <c r="AB34" s="3"/>
      <c r="AC34" s="3"/>
    </row>
    <row r="35" spans="1:29" x14ac:dyDescent="0.3">
      <c r="A35" s="5"/>
      <c r="H35" s="4"/>
      <c r="I35" s="2"/>
      <c r="J35" s="2">
        <v>0</v>
      </c>
      <c r="K35" s="40">
        <f>K34</f>
        <v>2.4370987192426842E-2</v>
      </c>
      <c r="L35" s="40">
        <f t="shared" ref="L35:N35" si="6">L34</f>
        <v>2.007022474670446E-2</v>
      </c>
      <c r="M35" s="40">
        <f t="shared" si="6"/>
        <v>0.50140449493408923</v>
      </c>
      <c r="N35" s="40">
        <f t="shared" si="6"/>
        <v>0.58741974384853679</v>
      </c>
      <c r="O35" s="2"/>
      <c r="P35" s="2"/>
      <c r="Q35" s="2"/>
      <c r="R35" s="2"/>
      <c r="S35" s="2"/>
      <c r="T35" s="2"/>
      <c r="U35" s="2"/>
      <c r="V35" s="2"/>
      <c r="W35" s="45"/>
      <c r="X35" s="2"/>
      <c r="Y35" s="3"/>
      <c r="Z35" s="3"/>
      <c r="AA35" s="3"/>
      <c r="AB35" s="3"/>
      <c r="AC35" s="3"/>
    </row>
    <row r="36" spans="1:29" x14ac:dyDescent="0.3">
      <c r="A36" s="5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45"/>
      <c r="X36" s="2"/>
      <c r="Y36" s="3"/>
      <c r="Z36" s="3"/>
      <c r="AA36" s="3"/>
      <c r="AB36" s="3"/>
      <c r="AC36" s="3"/>
    </row>
    <row r="37" spans="1:29" x14ac:dyDescent="0.3">
      <c r="A37" s="5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45"/>
      <c r="X37" s="2"/>
      <c r="Y37" s="3"/>
      <c r="Z37" s="3"/>
      <c r="AA37" s="3"/>
      <c r="AB37" s="3"/>
      <c r="AC37" s="3"/>
    </row>
    <row r="38" spans="1:29" x14ac:dyDescent="0.3">
      <c r="A38" s="5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45"/>
      <c r="X38" s="2"/>
      <c r="Y38" s="3"/>
      <c r="Z38" s="3"/>
      <c r="AA38" s="3"/>
      <c r="AB38" s="3"/>
      <c r="AC38" s="3"/>
    </row>
    <row r="39" spans="1:29" x14ac:dyDescent="0.3">
      <c r="A39" s="5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5"/>
      <c r="X39" s="2"/>
      <c r="Y39" s="3"/>
      <c r="Z39" s="3"/>
      <c r="AA39" s="3"/>
      <c r="AB39" s="3"/>
      <c r="AC39" s="3"/>
    </row>
    <row r="40" spans="1:29" x14ac:dyDescent="0.3">
      <c r="A40" s="5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5"/>
      <c r="X40" s="2"/>
      <c r="Y40" s="3"/>
      <c r="Z40" s="3"/>
      <c r="AA40" s="3"/>
      <c r="AB40" s="3"/>
      <c r="AC40" s="3"/>
    </row>
    <row r="41" spans="1:29" x14ac:dyDescent="0.3">
      <c r="A41" s="5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45"/>
      <c r="X41" s="2"/>
      <c r="Y41" s="3"/>
      <c r="Z41" s="3"/>
      <c r="AA41" s="3"/>
      <c r="AB41" s="3"/>
      <c r="AC41" s="3"/>
    </row>
    <row r="42" spans="1:29" x14ac:dyDescent="0.3">
      <c r="A42" s="5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5"/>
      <c r="X42" s="2"/>
      <c r="Y42" s="3"/>
      <c r="Z42" s="3"/>
      <c r="AA42" s="3"/>
      <c r="AB42" s="3"/>
      <c r="AC42" s="3"/>
    </row>
    <row r="43" spans="1:29" x14ac:dyDescent="0.3">
      <c r="A43" s="5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5"/>
      <c r="X43" s="2"/>
      <c r="Y43" s="3"/>
      <c r="Z43" s="3"/>
      <c r="AA43" s="3"/>
      <c r="AB43" s="3"/>
      <c r="AC43" s="3"/>
    </row>
    <row r="44" spans="1:29" x14ac:dyDescent="0.3">
      <c r="A44" s="95"/>
      <c r="B44" s="85"/>
      <c r="C44" s="85"/>
      <c r="D44" s="85"/>
      <c r="E44" s="85"/>
      <c r="F44" s="85"/>
      <c r="G44" s="85"/>
      <c r="H44" s="9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45"/>
      <c r="X44" s="2"/>
      <c r="Y44" s="3"/>
      <c r="Z44" s="3"/>
      <c r="AA44" s="3"/>
      <c r="AB44" s="3"/>
      <c r="AC44" s="3"/>
    </row>
    <row r="45" spans="1:29" x14ac:dyDescent="0.3">
      <c r="A45" s="97"/>
      <c r="B45" s="98"/>
      <c r="C45" s="98"/>
      <c r="D45" s="98"/>
      <c r="E45" s="98"/>
      <c r="F45" s="98"/>
      <c r="G45" s="98"/>
      <c r="H45" s="9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45"/>
      <c r="X45" s="2"/>
      <c r="Y45" s="3"/>
      <c r="Z45" s="3"/>
      <c r="AA45" s="3"/>
      <c r="AB45" s="3"/>
      <c r="AC45" s="3"/>
    </row>
    <row r="46" spans="1:29" x14ac:dyDescent="0.3">
      <c r="A46" s="89" t="s">
        <v>82</v>
      </c>
      <c r="B46" s="90"/>
      <c r="C46" s="90"/>
      <c r="D46" s="90"/>
      <c r="E46" s="90"/>
      <c r="F46" s="90"/>
      <c r="G46" s="90"/>
      <c r="H46" s="9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45"/>
      <c r="X46" s="2"/>
      <c r="Y46" s="3"/>
      <c r="Z46" s="3"/>
      <c r="AA46" s="3"/>
      <c r="AB46" s="3"/>
      <c r="AC46" s="3"/>
    </row>
    <row r="47" spans="1:29" x14ac:dyDescent="0.3">
      <c r="A47" s="92"/>
      <c r="B47" s="93"/>
      <c r="C47" s="93"/>
      <c r="D47" s="93"/>
      <c r="E47" s="93"/>
      <c r="F47" s="93"/>
      <c r="G47" s="93"/>
      <c r="H47" s="9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45"/>
      <c r="X47" s="2"/>
      <c r="Y47" s="3"/>
      <c r="Z47" s="3"/>
      <c r="AA47" s="3"/>
      <c r="AB47" s="3"/>
      <c r="AC47" s="3"/>
    </row>
    <row r="48" spans="1:29" x14ac:dyDescent="0.3">
      <c r="A48" s="35" t="s">
        <v>72</v>
      </c>
      <c r="H48" s="4"/>
      <c r="I48" s="2"/>
      <c r="J48" s="2"/>
      <c r="K48" s="2"/>
      <c r="L48" s="2" t="s">
        <v>23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  <c r="AA48" s="3"/>
      <c r="AB48" s="3"/>
      <c r="AC48" s="3"/>
    </row>
    <row r="49" spans="1:29" x14ac:dyDescent="0.3">
      <c r="A49" s="5"/>
      <c r="B49" s="11"/>
      <c r="H49" s="4"/>
      <c r="I49" s="2"/>
      <c r="J49" s="2"/>
      <c r="K49" s="2"/>
      <c r="L49" s="2" t="s">
        <v>24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  <c r="AA49" s="3"/>
      <c r="AB49" s="3"/>
      <c r="AC49" s="3"/>
    </row>
    <row r="50" spans="1:29" x14ac:dyDescent="0.3">
      <c r="A50" s="5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  <c r="AA50" s="3"/>
      <c r="AB50" s="3"/>
      <c r="AC50" s="3"/>
    </row>
    <row r="51" spans="1:29" x14ac:dyDescent="0.3">
      <c r="A51" s="5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</row>
    <row r="52" spans="1:29" x14ac:dyDescent="0.3">
      <c r="A52" s="5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  <c r="AA52" s="3"/>
      <c r="AB52" s="3"/>
      <c r="AC52" s="3"/>
    </row>
    <row r="53" spans="1:29" x14ac:dyDescent="0.3">
      <c r="A53" s="5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  <c r="AA53" s="3"/>
      <c r="AB53" s="3"/>
      <c r="AC53" s="3"/>
    </row>
    <row r="54" spans="1:29" x14ac:dyDescent="0.3">
      <c r="A54" s="5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  <c r="AA54" s="3"/>
      <c r="AB54" s="3"/>
      <c r="AC54" s="3"/>
    </row>
    <row r="55" spans="1:29" x14ac:dyDescent="0.3">
      <c r="A55" s="5"/>
      <c r="H55" s="4"/>
      <c r="I55" s="2"/>
      <c r="J55" s="2"/>
      <c r="K55" s="66" t="s">
        <v>93</v>
      </c>
      <c r="L55" s="6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  <c r="AA55" s="3"/>
      <c r="AB55" s="3"/>
      <c r="AC55" s="3"/>
    </row>
    <row r="56" spans="1:29" x14ac:dyDescent="0.3">
      <c r="A56" s="5"/>
      <c r="H56" s="4"/>
      <c r="I56" s="2"/>
      <c r="J56" s="2"/>
      <c r="K56" s="2">
        <v>30</v>
      </c>
      <c r="L56" s="2"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</row>
    <row r="57" spans="1:29" x14ac:dyDescent="0.3">
      <c r="A57" s="5"/>
      <c r="H57" s="4"/>
      <c r="I57" s="2"/>
      <c r="J57" s="2"/>
      <c r="K57" s="2">
        <v>30</v>
      </c>
      <c r="L57" s="2">
        <f>MAX(N25:N28)</f>
        <v>1.1818785714285716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  <c r="AA57" s="3"/>
      <c r="AB57" s="3"/>
      <c r="AC57" s="3"/>
    </row>
    <row r="58" spans="1:29" x14ac:dyDescent="0.3">
      <c r="A58" s="5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  <c r="AA58" s="3"/>
      <c r="AB58" s="3"/>
      <c r="AC58" s="3"/>
    </row>
    <row r="59" spans="1:29" x14ac:dyDescent="0.3">
      <c r="A59" s="5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  <c r="AA59" s="3"/>
      <c r="AB59" s="3"/>
      <c r="AC59" s="3"/>
    </row>
    <row r="60" spans="1:29" x14ac:dyDescent="0.3">
      <c r="A60" s="5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  <c r="AA60" s="3"/>
      <c r="AB60" s="3"/>
      <c r="AC60" s="3"/>
    </row>
    <row r="61" spans="1:29" x14ac:dyDescent="0.3">
      <c r="A61" s="5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  <c r="AA61" s="3"/>
      <c r="AB61" s="3"/>
      <c r="AC61" s="3"/>
    </row>
    <row r="62" spans="1:29" x14ac:dyDescent="0.3">
      <c r="A62" s="5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3"/>
    </row>
    <row r="63" spans="1:29" x14ac:dyDescent="0.3">
      <c r="A63" s="5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  <c r="AA63" s="3"/>
      <c r="AB63" s="3"/>
      <c r="AC63" s="3"/>
    </row>
    <row r="64" spans="1:29" x14ac:dyDescent="0.3">
      <c r="A64" s="5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  <c r="AA64" s="3"/>
      <c r="AB64" s="3"/>
      <c r="AC64" s="3"/>
    </row>
    <row r="65" spans="1:29" x14ac:dyDescent="0.3">
      <c r="A65" s="5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  <c r="AA65" s="3"/>
      <c r="AB65" s="3"/>
      <c r="AC65" s="3"/>
    </row>
    <row r="66" spans="1:29" x14ac:dyDescent="0.3">
      <c r="A66" s="5"/>
      <c r="H66" s="4"/>
      <c r="I66" s="2"/>
      <c r="J66" s="2"/>
      <c r="K66" s="2"/>
      <c r="L66" s="2" t="s">
        <v>28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  <c r="AA66" s="3"/>
      <c r="AB66" s="3"/>
      <c r="AC66" s="3"/>
    </row>
    <row r="67" spans="1:29" x14ac:dyDescent="0.3">
      <c r="A67" s="5"/>
      <c r="H67" s="4"/>
      <c r="I67" s="2"/>
      <c r="J67" s="2"/>
      <c r="K67" s="2"/>
      <c r="L67" s="2"/>
      <c r="M67" s="2"/>
      <c r="N67" s="2"/>
      <c r="O67" s="2" t="s">
        <v>35</v>
      </c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  <c r="AA67" s="3"/>
      <c r="AB67" s="3"/>
      <c r="AC67" s="3"/>
    </row>
    <row r="68" spans="1:29" x14ac:dyDescent="0.3">
      <c r="A68" s="5"/>
      <c r="H68" s="4"/>
      <c r="I68" s="2"/>
      <c r="J68" s="2"/>
      <c r="K68" s="2"/>
      <c r="L68" s="2" t="s">
        <v>25</v>
      </c>
      <c r="M68" s="2">
        <f>ROUND(PI()/4*J2^2,2)</f>
        <v>7853.98</v>
      </c>
      <c r="N68" s="2" t="s">
        <v>0</v>
      </c>
      <c r="O68" s="41">
        <f>O69+O70</f>
        <v>1</v>
      </c>
      <c r="P68" s="2" t="s">
        <v>34</v>
      </c>
      <c r="Q68" s="2">
        <f>J4</f>
        <v>20</v>
      </c>
      <c r="R68" s="2"/>
      <c r="S68" s="2"/>
      <c r="T68" s="2"/>
      <c r="U68" s="2"/>
      <c r="V68" s="2"/>
      <c r="W68" s="2"/>
      <c r="X68" s="2"/>
      <c r="Y68" s="3"/>
      <c r="Z68" s="3"/>
      <c r="AA68" s="3"/>
      <c r="AB68" s="3"/>
      <c r="AC68" s="3"/>
    </row>
    <row r="69" spans="1:29" x14ac:dyDescent="0.3">
      <c r="A69" s="5"/>
      <c r="H69" s="4"/>
      <c r="I69" s="2"/>
      <c r="J69" s="2"/>
      <c r="K69" s="2"/>
      <c r="L69" s="2" t="s">
        <v>26</v>
      </c>
      <c r="M69" s="2">
        <f>M68-B13</f>
        <v>-2.0000000000436557E-2</v>
      </c>
      <c r="N69" s="2" t="s">
        <v>0</v>
      </c>
      <c r="O69" s="2">
        <f t="shared" ref="O69:O70" si="7">M69/$M$68</f>
        <v>-2.5464796193059517E-6</v>
      </c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  <c r="AA69" s="3"/>
      <c r="AB69" s="3"/>
      <c r="AC69" s="3"/>
    </row>
    <row r="70" spans="1:29" x14ac:dyDescent="0.3">
      <c r="A70" s="5"/>
      <c r="H70" s="4"/>
      <c r="I70" s="2"/>
      <c r="J70" s="2"/>
      <c r="K70" s="2"/>
      <c r="L70" s="2" t="s">
        <v>27</v>
      </c>
      <c r="M70" s="2">
        <f>M68-M69</f>
        <v>7854</v>
      </c>
      <c r="N70" s="2" t="s">
        <v>0</v>
      </c>
      <c r="O70" s="2">
        <f t="shared" si="7"/>
        <v>1.0000025464796194</v>
      </c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  <c r="AA70" s="3"/>
      <c r="AB70" s="3"/>
      <c r="AC70" s="3"/>
    </row>
    <row r="71" spans="1:29" x14ac:dyDescent="0.3">
      <c r="A71" s="5"/>
      <c r="H71" s="4"/>
      <c r="I71" s="2"/>
      <c r="J71" s="2"/>
      <c r="K71" s="2" t="s">
        <v>29</v>
      </c>
      <c r="L71" s="42" t="s">
        <v>55</v>
      </c>
      <c r="M71" s="41">
        <v>50</v>
      </c>
      <c r="N71" s="2" t="s">
        <v>31</v>
      </c>
      <c r="O71" s="42" t="s">
        <v>33</v>
      </c>
      <c r="P71" s="41">
        <f>$Q$68/M71/1000</f>
        <v>4.0000000000000002E-4</v>
      </c>
      <c r="Q71" s="2" t="s">
        <v>36</v>
      </c>
      <c r="R71" s="43" t="s">
        <v>37</v>
      </c>
      <c r="S71" s="2">
        <f>O69/P71+O70/P72</f>
        <v>11.493663085467357</v>
      </c>
      <c r="T71" s="2"/>
      <c r="U71" s="2"/>
      <c r="V71" s="2"/>
      <c r="W71" s="2"/>
      <c r="X71" s="2"/>
      <c r="Y71" s="3"/>
      <c r="Z71" s="3"/>
      <c r="AA71" s="3"/>
      <c r="AB71" s="3"/>
      <c r="AC71" s="3"/>
    </row>
    <row r="72" spans="1:29" x14ac:dyDescent="0.3">
      <c r="A72" s="5"/>
      <c r="H72" s="4"/>
      <c r="I72" s="2"/>
      <c r="J72" s="2"/>
      <c r="K72" s="2" t="s">
        <v>30</v>
      </c>
      <c r="L72" s="42" t="s">
        <v>56</v>
      </c>
      <c r="M72" s="41">
        <v>0.23</v>
      </c>
      <c r="N72" s="2" t="s">
        <v>31</v>
      </c>
      <c r="O72" s="42" t="s">
        <v>32</v>
      </c>
      <c r="P72" s="41">
        <f>$Q$68/M72/1000</f>
        <v>8.6956521739130432E-2</v>
      </c>
      <c r="Q72" s="2" t="s">
        <v>36</v>
      </c>
      <c r="R72" s="43" t="s">
        <v>38</v>
      </c>
      <c r="S72" s="2">
        <f>1/S71</f>
        <v>8.700446433516959E-2</v>
      </c>
      <c r="T72" s="42" t="s">
        <v>57</v>
      </c>
      <c r="U72" s="2">
        <f>Q68/1000/S72</f>
        <v>0.22987326170934716</v>
      </c>
      <c r="V72" s="2"/>
      <c r="W72" s="2"/>
      <c r="X72" s="2"/>
      <c r="Y72" s="3"/>
      <c r="Z72" s="3"/>
      <c r="AA72" s="3"/>
      <c r="AB72" s="3"/>
      <c r="AC72" s="3"/>
    </row>
    <row r="73" spans="1:29" x14ac:dyDescent="0.3">
      <c r="A73" s="5"/>
      <c r="H73" s="4"/>
      <c r="I73" s="2"/>
      <c r="J73" s="2"/>
      <c r="K73" s="2" t="s">
        <v>39</v>
      </c>
      <c r="L73" s="42" t="s">
        <v>55</v>
      </c>
      <c r="M73" s="41">
        <v>15</v>
      </c>
      <c r="N73" s="2" t="s">
        <v>31</v>
      </c>
      <c r="O73" s="42" t="s">
        <v>33</v>
      </c>
      <c r="P73" s="41">
        <f>$Q$68/M73/1000</f>
        <v>1.3333333333333333E-3</v>
      </c>
      <c r="Q73" s="2" t="s">
        <v>36</v>
      </c>
      <c r="R73" s="43" t="s">
        <v>37</v>
      </c>
      <c r="S73" s="2">
        <f>O69/P73+O70/P74</f>
        <v>11.498119424801144</v>
      </c>
      <c r="T73" s="2"/>
      <c r="U73" s="2"/>
      <c r="V73" s="2"/>
      <c r="W73" s="2"/>
      <c r="X73" s="2"/>
      <c r="Y73" s="3"/>
      <c r="Z73" s="3"/>
      <c r="AA73" s="3"/>
      <c r="AB73" s="3"/>
      <c r="AC73" s="3"/>
    </row>
    <row r="74" spans="1:29" x14ac:dyDescent="0.3">
      <c r="A74" s="33"/>
      <c r="B74" s="20"/>
      <c r="C74" s="20"/>
      <c r="D74" s="20"/>
      <c r="E74" s="20"/>
      <c r="F74" s="20"/>
      <c r="G74" s="20"/>
      <c r="H74" s="32"/>
      <c r="I74" s="63"/>
      <c r="J74" s="2"/>
      <c r="K74" s="2" t="s">
        <v>30</v>
      </c>
      <c r="L74" s="42" t="s">
        <v>56</v>
      </c>
      <c r="M74" s="41">
        <v>0.23</v>
      </c>
      <c r="N74" s="2" t="s">
        <v>31</v>
      </c>
      <c r="O74" s="42" t="s">
        <v>32</v>
      </c>
      <c r="P74" s="41">
        <f>$Q$68/M74/1000</f>
        <v>8.6956521739130432E-2</v>
      </c>
      <c r="Q74" s="2" t="s">
        <v>36</v>
      </c>
      <c r="R74" s="43" t="s">
        <v>38</v>
      </c>
      <c r="S74" s="2">
        <f>1/S73</f>
        <v>8.6970743915133292E-2</v>
      </c>
      <c r="T74" s="42" t="s">
        <v>57</v>
      </c>
      <c r="U74" s="2">
        <f>Q68/1000/S74</f>
        <v>0.22996238849602288</v>
      </c>
      <c r="V74" s="2"/>
      <c r="W74" s="2"/>
      <c r="X74" s="2"/>
      <c r="Y74" s="3"/>
      <c r="Z74" s="3"/>
      <c r="AA74" s="3"/>
      <c r="AB74" s="3"/>
      <c r="AC74" s="3"/>
    </row>
    <row r="75" spans="1:29" x14ac:dyDescent="0.3">
      <c r="A75" s="84" t="s">
        <v>83</v>
      </c>
      <c r="B75" s="85"/>
      <c r="C75" s="85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  <c r="AA75" s="3"/>
      <c r="AB75" s="3"/>
      <c r="AC75" s="3"/>
    </row>
    <row r="76" spans="1:29" x14ac:dyDescent="0.3">
      <c r="A76" s="132" t="s">
        <v>97</v>
      </c>
      <c r="B76" s="133"/>
      <c r="C76" s="133"/>
      <c r="D76" s="133"/>
      <c r="E76" s="133"/>
      <c r="F76" s="133"/>
      <c r="G76" s="133"/>
      <c r="H76" s="13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  <c r="AA76" s="3"/>
      <c r="AB76" s="3"/>
      <c r="AC76" s="3"/>
    </row>
    <row r="77" spans="1:29" x14ac:dyDescent="0.3">
      <c r="A77" s="135"/>
      <c r="B77" s="133"/>
      <c r="C77" s="133"/>
      <c r="D77" s="133"/>
      <c r="E77" s="133"/>
      <c r="F77" s="133"/>
      <c r="G77" s="133"/>
      <c r="H77" s="13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  <c r="AA77" s="3"/>
      <c r="AB77" s="3"/>
      <c r="AC77" s="3"/>
    </row>
    <row r="78" spans="1:29" x14ac:dyDescent="0.3">
      <c r="A78" s="136"/>
      <c r="B78" s="137"/>
      <c r="C78" s="137"/>
      <c r="D78" s="137"/>
      <c r="E78" s="137"/>
      <c r="F78" s="137"/>
      <c r="G78" s="137"/>
      <c r="H78" s="13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  <c r="AA78" s="3"/>
      <c r="AB78" s="3"/>
      <c r="AC78" s="3"/>
    </row>
    <row r="79" spans="1:29" x14ac:dyDescent="0.3">
      <c r="A79" s="106" t="s">
        <v>85</v>
      </c>
      <c r="B79" s="107"/>
      <c r="C79" s="13">
        <f>ROUND(M68,0)</f>
        <v>7854</v>
      </c>
      <c r="D79" s="16" t="s">
        <v>42</v>
      </c>
      <c r="E79" s="30">
        <f>E80+E81</f>
        <v>1</v>
      </c>
      <c r="F79" s="12"/>
      <c r="G79" s="70" t="s">
        <v>43</v>
      </c>
      <c r="H79" s="70" t="s">
        <v>44</v>
      </c>
      <c r="I79" s="2"/>
      <c r="J79" s="117" t="s">
        <v>58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  <c r="AA79" s="3"/>
      <c r="AB79" s="3"/>
      <c r="AC79" s="3"/>
    </row>
    <row r="80" spans="1:29" x14ac:dyDescent="0.3">
      <c r="A80" s="108" t="s">
        <v>86</v>
      </c>
      <c r="B80" s="109"/>
      <c r="C80" s="10">
        <f t="shared" ref="C80:C81" si="8">ROUND(M69,0)</f>
        <v>0</v>
      </c>
      <c r="D80" s="14" t="s">
        <v>42</v>
      </c>
      <c r="E80" s="15">
        <f>O69</f>
        <v>-2.5464796193059517E-6</v>
      </c>
      <c r="F80" s="4"/>
      <c r="G80" s="71"/>
      <c r="H80" s="71"/>
      <c r="I80" s="2"/>
      <c r="J80" s="11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  <c r="AA80" s="3"/>
      <c r="AB80" s="3"/>
      <c r="AC80" s="3"/>
    </row>
    <row r="81" spans="1:29" x14ac:dyDescent="0.3">
      <c r="A81" s="110" t="s">
        <v>87</v>
      </c>
      <c r="B81" s="111"/>
      <c r="C81" s="18">
        <f t="shared" si="8"/>
        <v>7854</v>
      </c>
      <c r="D81" s="19" t="s">
        <v>42</v>
      </c>
      <c r="E81" s="31">
        <f>O70</f>
        <v>1.0000025464796194</v>
      </c>
      <c r="F81" s="32"/>
      <c r="G81" s="72"/>
      <c r="H81" s="72"/>
      <c r="I81" s="2"/>
      <c r="J81" s="11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  <c r="AA81" s="3"/>
      <c r="AB81" s="3"/>
      <c r="AC81" s="3"/>
    </row>
    <row r="82" spans="1:29" x14ac:dyDescent="0.3">
      <c r="A82" s="112" t="s">
        <v>88</v>
      </c>
      <c r="B82" s="113"/>
      <c r="C82" s="27" t="s">
        <v>40</v>
      </c>
      <c r="D82" s="29">
        <f>M71</f>
        <v>50</v>
      </c>
      <c r="E82" s="25" t="s">
        <v>45</v>
      </c>
      <c r="F82" s="26">
        <f>ROUND(P71,5)</f>
        <v>4.0000000000000002E-4</v>
      </c>
      <c r="G82" s="73">
        <f>ROUND(S71,1)</f>
        <v>11.5</v>
      </c>
      <c r="H82" s="73">
        <f>ROUND(U72,3)</f>
        <v>0.23</v>
      </c>
      <c r="I82" s="2"/>
      <c r="J82" s="83">
        <f>ROUND(S72,5)</f>
        <v>8.6999999999999994E-2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  <c r="AA82" s="3"/>
      <c r="AB82" s="3"/>
      <c r="AC82" s="3"/>
    </row>
    <row r="83" spans="1:29" x14ac:dyDescent="0.3">
      <c r="A83" s="114" t="s">
        <v>30</v>
      </c>
      <c r="B83" s="113"/>
      <c r="C83" s="27" t="s">
        <v>41</v>
      </c>
      <c r="D83" s="29">
        <f>M72</f>
        <v>0.23</v>
      </c>
      <c r="E83" s="25" t="s">
        <v>46</v>
      </c>
      <c r="F83" s="26">
        <f t="shared" ref="F83" si="9">ROUND(P72,5)</f>
        <v>8.6959999999999996E-2</v>
      </c>
      <c r="G83" s="73"/>
      <c r="H83" s="73"/>
      <c r="I83" s="2"/>
      <c r="J83" s="8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  <c r="AA83" s="3"/>
      <c r="AB83" s="3"/>
      <c r="AC83" s="3"/>
    </row>
    <row r="84" spans="1:29" x14ac:dyDescent="0.3">
      <c r="A84" s="5"/>
      <c r="G84" s="21"/>
      <c r="H84" s="2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  <c r="AA84" s="3"/>
      <c r="AB84" s="3"/>
      <c r="AC84" s="3"/>
    </row>
    <row r="85" spans="1:29" x14ac:dyDescent="0.3">
      <c r="A85" s="103" t="s">
        <v>89</v>
      </c>
      <c r="B85" s="104"/>
      <c r="C85" s="28" t="s">
        <v>40</v>
      </c>
      <c r="D85" s="29">
        <f>M73</f>
        <v>15</v>
      </c>
      <c r="E85" s="24" t="s">
        <v>45</v>
      </c>
      <c r="F85" s="23">
        <f>ROUND(P73,5)</f>
        <v>1.33E-3</v>
      </c>
      <c r="G85" s="73">
        <f>ROUND(S73,1)</f>
        <v>11.5</v>
      </c>
      <c r="H85" s="73">
        <f>ROUND(U74,3)</f>
        <v>0.23</v>
      </c>
      <c r="I85" s="2"/>
      <c r="J85" s="83">
        <f>ROUND(S74,5)</f>
        <v>8.6970000000000006E-2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  <c r="AA85" s="3"/>
      <c r="AB85" s="3"/>
      <c r="AC85" s="3"/>
    </row>
    <row r="86" spans="1:29" x14ac:dyDescent="0.3">
      <c r="A86" s="105" t="s">
        <v>30</v>
      </c>
      <c r="B86" s="105"/>
      <c r="C86" s="28" t="s">
        <v>41</v>
      </c>
      <c r="D86" s="29">
        <f>M74</f>
        <v>0.23</v>
      </c>
      <c r="E86" s="24" t="s">
        <v>46</v>
      </c>
      <c r="F86" s="23">
        <f>ROUND(P74,5)</f>
        <v>8.6959999999999996E-2</v>
      </c>
      <c r="G86" s="73"/>
      <c r="H86" s="73"/>
      <c r="I86" s="2"/>
      <c r="J86" s="8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  <c r="AA86" s="3"/>
      <c r="AB86" s="3"/>
      <c r="AC86" s="3"/>
    </row>
    <row r="87" spans="1:29" x14ac:dyDescent="0.3">
      <c r="A87" s="67" t="s">
        <v>90</v>
      </c>
      <c r="B87" s="68"/>
      <c r="C87" s="68"/>
      <c r="D87" s="68"/>
      <c r="E87" s="68"/>
      <c r="F87" s="68"/>
      <c r="G87" s="68"/>
      <c r="H87" s="6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  <c r="AA87" s="3"/>
      <c r="AB87" s="3"/>
      <c r="AC87" s="3"/>
    </row>
    <row r="88" spans="1:29" x14ac:dyDescent="0.3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  <c r="AA88" s="3"/>
      <c r="AB88" s="3"/>
      <c r="AC88" s="3"/>
    </row>
    <row r="89" spans="1:29" x14ac:dyDescent="0.3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  <c r="AA89" s="3"/>
      <c r="AB89" s="3"/>
      <c r="AC89" s="3"/>
    </row>
    <row r="90" spans="1:29" x14ac:dyDescent="0.3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  <c r="AA90" s="3"/>
      <c r="AB90" s="3"/>
    </row>
    <row r="91" spans="1:29" x14ac:dyDescent="0.3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  <c r="AA91" s="3"/>
      <c r="AB91" s="3"/>
    </row>
    <row r="92" spans="1:29" x14ac:dyDescent="0.3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  <c r="AA92" s="3"/>
      <c r="AB92" s="3"/>
    </row>
    <row r="93" spans="1:29" x14ac:dyDescent="0.3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  <c r="AA93" s="3"/>
      <c r="AB93" s="3"/>
    </row>
    <row r="94" spans="1:29" x14ac:dyDescent="0.3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  <c r="AA94" s="3"/>
      <c r="AB94" s="3"/>
    </row>
    <row r="95" spans="1:29" x14ac:dyDescent="0.3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  <c r="AA95" s="3"/>
      <c r="AB95" s="3"/>
    </row>
    <row r="96" spans="1:29" x14ac:dyDescent="0.3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  <c r="AA96" s="3"/>
      <c r="AB96" s="3"/>
    </row>
    <row r="97" spans="9:28" x14ac:dyDescent="0.3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  <c r="AA97" s="3"/>
      <c r="AB97" s="3"/>
    </row>
    <row r="98" spans="9:28" x14ac:dyDescent="0.3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9:28" x14ac:dyDescent="0.3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9:28" x14ac:dyDescent="0.3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9:28" x14ac:dyDescent="0.3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</sheetData>
  <sheetProtection password="EAA6" sheet="1" objects="1" scenarios="1" selectLockedCells="1"/>
  <mergeCells count="45">
    <mergeCell ref="A44:H45"/>
    <mergeCell ref="A46:H47"/>
    <mergeCell ref="F9:G9"/>
    <mergeCell ref="F10:G10"/>
    <mergeCell ref="H85:H86"/>
    <mergeCell ref="J85:J86"/>
    <mergeCell ref="A86:B86"/>
    <mergeCell ref="A87:H87"/>
    <mergeCell ref="A81:B81"/>
    <mergeCell ref="A82:B82"/>
    <mergeCell ref="G82:G83"/>
    <mergeCell ref="H82:H83"/>
    <mergeCell ref="J82:J83"/>
    <mergeCell ref="A83:B83"/>
    <mergeCell ref="A85:B85"/>
    <mergeCell ref="G85:G86"/>
    <mergeCell ref="K55:L55"/>
    <mergeCell ref="A75:C75"/>
    <mergeCell ref="A76:H78"/>
    <mergeCell ref="A79:B79"/>
    <mergeCell ref="G79:G81"/>
    <mergeCell ref="H79:H81"/>
    <mergeCell ref="J79:J81"/>
    <mergeCell ref="A80:B80"/>
    <mergeCell ref="I15:J15"/>
    <mergeCell ref="I23:N23"/>
    <mergeCell ref="A4:C4"/>
    <mergeCell ref="D4:E4"/>
    <mergeCell ref="F4:G4"/>
    <mergeCell ref="H5:H6"/>
    <mergeCell ref="A7:C7"/>
    <mergeCell ref="D7:H7"/>
    <mergeCell ref="A8:A9"/>
    <mergeCell ref="B8:B9"/>
    <mergeCell ref="C8:C9"/>
    <mergeCell ref="I1:M1"/>
    <mergeCell ref="A2:B2"/>
    <mergeCell ref="C2:G2"/>
    <mergeCell ref="I10:J10"/>
    <mergeCell ref="F13:F14"/>
    <mergeCell ref="A3:B3"/>
    <mergeCell ref="C3:D3"/>
    <mergeCell ref="F3:G3"/>
    <mergeCell ref="A1:B1"/>
    <mergeCell ref="C1:G1"/>
  </mergeCells>
  <conditionalFormatting sqref="D5:D6">
    <cfRule type="expression" dxfId="1" priority="2">
      <formula>D5&gt;30</formula>
    </cfRule>
  </conditionalFormatting>
  <conditionalFormatting sqref="H5:H6">
    <cfRule type="expression" dxfId="0" priority="1">
      <formula>$H$5=1</formula>
    </cfRule>
  </conditionalFormatting>
  <pageMargins left="0.70866141732283472" right="0.39370078740157483" top="0.82677165354330717" bottom="0.78740157480314965" header="0.23622047244094491" footer="0.31496062992125984"/>
  <pageSetup paperSize="9" scale="95" orientation="portrait" r:id="rId1"/>
  <headerFooter>
    <oddFooter>&amp;C&amp;"Century Gothic,Standard"&amp;10&amp;K01+048Die Verantwortung für den sach- und fachgerechtene Einbau obliegt allein der ausführenden Firma. Eine Haftung für die Lagerung wird von der Fa. ESZ Becker GmbH nicht übernommen.</oddFooter>
  </headerFooter>
  <rowBreaks count="1" manualBreakCount="1">
    <brk id="45" max="16383" man="1"/>
  </rowBreaks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4</xdr:col>
                <xdr:colOff>28575</xdr:colOff>
                <xdr:row>12</xdr:row>
                <xdr:rowOff>9525</xdr:rowOff>
              </from>
              <to>
                <xdr:col>4</xdr:col>
                <xdr:colOff>1114425</xdr:colOff>
                <xdr:row>13</xdr:row>
                <xdr:rowOff>200025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 sizeWithCells="1">
              <from>
                <xdr:col>1</xdr:col>
                <xdr:colOff>0</xdr:colOff>
                <xdr:row>48</xdr:row>
                <xdr:rowOff>0</xdr:rowOff>
              </from>
              <to>
                <xdr:col>4</xdr:col>
                <xdr:colOff>485775</xdr:colOff>
                <xdr:row>51</xdr:row>
                <xdr:rowOff>161925</xdr:rowOff>
              </to>
            </anchor>
          </objectPr>
        </oleObject>
      </mc:Choice>
      <mc:Fallback>
        <oleObject progId="Equation.DSMT4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8</vt:i4>
      </vt:variant>
    </vt:vector>
  </HeadingPairs>
  <TitlesOfParts>
    <vt:vector size="10" baseType="lpstr">
      <vt:lpstr>rechthoek</vt:lpstr>
      <vt:lpstr>cirkel</vt:lpstr>
      <vt:lpstr>cirkel!Afdrukbereik</vt:lpstr>
      <vt:lpstr>rechthoek!Afdrukbereik</vt:lpstr>
      <vt:lpstr>cirkel!Afdruktitels</vt:lpstr>
      <vt:lpstr>rechthoek!Afdruktitels</vt:lpstr>
      <vt:lpstr>cirkel!psi_1</vt:lpstr>
      <vt:lpstr>psi_1</vt:lpstr>
      <vt:lpstr>cirkel!psi_2</vt:lpstr>
      <vt:lpstr>psi_2</vt:lpstr>
    </vt:vector>
  </TitlesOfParts>
  <Company>ESZ W. Becker GmbH</Company>
  <LinksUpToDate>false</LinksUpToDate>
  <SharedDoc>false</SharedDoc>
  <HyperlinkBase>http://esz-becker.de/Sepatherm.html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ESZ Sepatherm</dc:title>
  <dc:subject>thermische Trennung &amp; Bauteiltrennung</dc:subject>
  <dc:creator>Dipl.-Ing. (FH) Matthias Vogt VDI</dc:creator>
  <cp:lastModifiedBy>Arcas Trading BV</cp:lastModifiedBy>
  <cp:lastPrinted>2023-08-28T15:43:16Z</cp:lastPrinted>
  <dcterms:created xsi:type="dcterms:W3CDTF">2015-09-02T08:03:15Z</dcterms:created>
  <dcterms:modified xsi:type="dcterms:W3CDTF">2023-08-29T09:53:21Z</dcterms:modified>
  <cp:category>Stahlbau, Stahlverbundbau, Hochbau, Fassadenbau</cp:category>
</cp:coreProperties>
</file>